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V7" i="8" l="1"/>
  <c r="V9" i="13" l="1"/>
  <c r="AH7" i="8" l="1"/>
  <c r="AJ7" i="11" l="1"/>
  <c r="AJ6" i="11"/>
  <c r="AJ14" i="11"/>
  <c r="AJ13" i="11"/>
  <c r="AJ21" i="11"/>
  <c r="AJ20" i="11"/>
  <c r="AJ28" i="11"/>
  <c r="AJ27" i="11"/>
  <c r="AJ35" i="11"/>
  <c r="AJ34" i="11"/>
  <c r="AJ42" i="11"/>
  <c r="AJ41" i="11"/>
  <c r="AJ49" i="11"/>
  <c r="AJ48" i="11"/>
  <c r="AJ56" i="11"/>
  <c r="AJ55" i="11"/>
  <c r="AJ70" i="11"/>
  <c r="AJ69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J10" i="10"/>
  <c r="AJ9" i="10"/>
  <c r="AJ8" i="10"/>
  <c r="AJ7" i="10"/>
  <c r="AJ6" i="10"/>
  <c r="AJ20" i="10"/>
  <c r="AJ19" i="10"/>
  <c r="AJ18" i="10"/>
  <c r="AJ17" i="10"/>
  <c r="AJ16" i="10"/>
  <c r="AJ30" i="10"/>
  <c r="AJ29" i="10"/>
  <c r="AJ28" i="10"/>
  <c r="AJ27" i="10"/>
  <c r="AJ26" i="10"/>
  <c r="AJ40" i="10"/>
  <c r="AJ39" i="10"/>
  <c r="AJ38" i="10"/>
  <c r="AJ37" i="10"/>
  <c r="AJ36" i="10"/>
  <c r="AJ50" i="10"/>
  <c r="AJ49" i="10"/>
  <c r="AJ48" i="10"/>
  <c r="AJ47" i="10"/>
  <c r="AJ46" i="10"/>
  <c r="AJ60" i="10"/>
  <c r="AJ59" i="10"/>
  <c r="AJ58" i="10"/>
  <c r="AJ57" i="10"/>
  <c r="AJ56" i="10"/>
  <c r="AJ70" i="10"/>
  <c r="AJ69" i="10"/>
  <c r="AJ68" i="10"/>
  <c r="AJ67" i="10"/>
  <c r="AJ66" i="10"/>
  <c r="AJ80" i="10"/>
  <c r="AJ79" i="10"/>
  <c r="AJ78" i="10"/>
  <c r="AJ77" i="10"/>
  <c r="AJ76" i="10"/>
  <c r="AJ100" i="10"/>
  <c r="AJ99" i="10"/>
  <c r="AJ98" i="10"/>
  <c r="AJ97" i="10"/>
  <c r="AJ96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AJ63" i="9"/>
  <c r="AJ62" i="9"/>
  <c r="AJ55" i="9"/>
  <c r="AJ54" i="9"/>
  <c r="AJ47" i="9"/>
  <c r="AJ46" i="9"/>
  <c r="AJ39" i="9"/>
  <c r="AJ38" i="9"/>
  <c r="AJ31" i="9"/>
  <c r="AJ30" i="9"/>
  <c r="AJ23" i="9"/>
  <c r="AJ22" i="9"/>
  <c r="AJ15" i="9"/>
  <c r="AJ14" i="9"/>
  <c r="AJ7" i="9"/>
  <c r="AJ6" i="9"/>
  <c r="AJ79" i="9"/>
  <c r="AJ78" i="9"/>
  <c r="O21" i="11"/>
  <c r="O15" i="11"/>
  <c r="O14" i="11"/>
  <c r="O12" i="11"/>
  <c r="O30" i="10"/>
  <c r="O29" i="10"/>
  <c r="O20" i="10"/>
  <c r="O19" i="10"/>
  <c r="O23" i="9"/>
  <c r="O15" i="9"/>
  <c r="Y30" i="10"/>
  <c r="Y29" i="10"/>
  <c r="Y23" i="9"/>
  <c r="AI21" i="11"/>
  <c r="AI14" i="11"/>
  <c r="AI27" i="10"/>
  <c r="AI30" i="10"/>
  <c r="AI29" i="10"/>
  <c r="AI20" i="10"/>
  <c r="AI19" i="10"/>
  <c r="AI17" i="10"/>
  <c r="AI23" i="9"/>
  <c r="AI15" i="9"/>
  <c r="S21" i="11"/>
  <c r="S27" i="10"/>
  <c r="S30" i="10"/>
  <c r="S29" i="10"/>
  <c r="S23" i="9"/>
  <c r="AJ88" i="10" l="1"/>
  <c r="AJ89" i="10"/>
  <c r="AJ62" i="11"/>
  <c r="AJ63" i="11"/>
  <c r="AJ86" i="10"/>
  <c r="AJ87" i="10"/>
  <c r="AJ90" i="10"/>
  <c r="AJ70" i="9"/>
  <c r="AJ71" i="9"/>
  <c r="M21" i="11"/>
  <c r="M31" i="10"/>
  <c r="M30" i="10"/>
  <c r="M29" i="10"/>
  <c r="M28" i="10"/>
  <c r="M27" i="10"/>
  <c r="M25" i="10"/>
  <c r="M25" i="9"/>
  <c r="M24" i="9"/>
  <c r="M23" i="9"/>
  <c r="M21" i="9"/>
  <c r="B23" i="9"/>
  <c r="BI16" i="14" l="1"/>
  <c r="BI15" i="14"/>
  <c r="BI14" i="14"/>
  <c r="BI13" i="14"/>
  <c r="BI12" i="14"/>
  <c r="BI11" i="14"/>
  <c r="BI10" i="14"/>
  <c r="BI9" i="14"/>
  <c r="CJ14" i="3" l="1"/>
  <c r="CH14" i="3"/>
  <c r="AD7" i="8"/>
  <c r="AD23" i="7"/>
  <c r="DK9" i="2"/>
  <c r="DJ9" i="2"/>
  <c r="DI9" i="2"/>
  <c r="X10" i="15"/>
  <c r="X7" i="13"/>
  <c r="X13" i="1"/>
  <c r="X11" i="1"/>
  <c r="X10" i="1"/>
  <c r="X9" i="1"/>
  <c r="X8" i="1"/>
  <c r="X7" i="1"/>
  <c r="X5" i="1"/>
  <c r="X4" i="1"/>
  <c r="X14" i="6"/>
  <c r="AI19" i="14"/>
  <c r="AJ19" i="14"/>
  <c r="M22" i="11"/>
  <c r="M19" i="11"/>
  <c r="M9" i="7"/>
  <c r="S22" i="11" l="1"/>
  <c r="S19" i="11"/>
  <c r="S31" i="10"/>
  <c r="S25" i="10"/>
  <c r="S25" i="9"/>
  <c r="S24" i="9"/>
  <c r="S21" i="9"/>
  <c r="AI22" i="11"/>
  <c r="AI19" i="11"/>
  <c r="AI15" i="11"/>
  <c r="AI31" i="10"/>
  <c r="AI25" i="10"/>
  <c r="AI21" i="10"/>
  <c r="AI15" i="10"/>
  <c r="AI25" i="9"/>
  <c r="AI24" i="9"/>
  <c r="AI21" i="9"/>
  <c r="AI17" i="9"/>
  <c r="AI16" i="9"/>
  <c r="AI13" i="9"/>
  <c r="Y31" i="10"/>
  <c r="Y25" i="10"/>
  <c r="Y25" i="9"/>
  <c r="Y24" i="9"/>
  <c r="Y21" i="9"/>
  <c r="AC15" i="16"/>
  <c r="AJ4" i="16"/>
  <c r="AJ5" i="16"/>
  <c r="AJ6" i="16"/>
  <c r="AJ7" i="16"/>
  <c r="AJ8" i="16"/>
  <c r="AJ9" i="16"/>
  <c r="AJ10" i="16"/>
  <c r="AJ12" i="16"/>
  <c r="AJ13" i="16"/>
  <c r="AJ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5" i="16"/>
  <c r="AJ16" i="16"/>
  <c r="AJ17" i="16"/>
  <c r="AJ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CU36" i="14"/>
  <c r="CT36" i="14"/>
  <c r="CT37" i="14" s="1"/>
  <c r="CR36" i="14"/>
  <c r="CQ36" i="14"/>
  <c r="CN36" i="14"/>
  <c r="CL36" i="14"/>
  <c r="CL37" i="14" s="1"/>
  <c r="CK36" i="14"/>
  <c r="CI36" i="14"/>
  <c r="CH36" i="14"/>
  <c r="CH37" i="14" s="1"/>
  <c r="CE36" i="14"/>
  <c r="CC36" i="14"/>
  <c r="CB36" i="14"/>
  <c r="BZ36" i="14"/>
  <c r="BZ37" i="14" s="1"/>
  <c r="BY36" i="14"/>
  <c r="BY37" i="14" s="1"/>
  <c r="BV36" i="14"/>
  <c r="BT36" i="14"/>
  <c r="BT37" i="14" s="1"/>
  <c r="BS36" i="14"/>
  <c r="BS37" i="14" s="1"/>
  <c r="BQ36" i="14"/>
  <c r="BQ37" i="14" s="1"/>
  <c r="BP36" i="14"/>
  <c r="BP37" i="14" s="1"/>
  <c r="BN36" i="14"/>
  <c r="BN37" i="14" s="1"/>
  <c r="BM36" i="14"/>
  <c r="BK36" i="14"/>
  <c r="BJ36" i="14"/>
  <c r="BH36" i="14"/>
  <c r="BH37" i="14" s="1"/>
  <c r="BG36" i="14"/>
  <c r="BG37" i="14" s="1"/>
  <c r="BE36" i="14"/>
  <c r="BD36" i="14"/>
  <c r="BD37" i="14" s="1"/>
  <c r="BB36" i="14"/>
  <c r="BB37" i="14" s="1"/>
  <c r="BA36" i="14"/>
  <c r="BA37" i="14" s="1"/>
  <c r="AY36" i="14"/>
  <c r="AX36" i="14"/>
  <c r="AS36" i="14"/>
  <c r="AS37" i="14" s="1"/>
  <c r="AR36" i="14"/>
  <c r="AR37" i="14" s="1"/>
  <c r="AP36" i="14"/>
  <c r="AO36" i="14"/>
  <c r="AM36" i="14"/>
  <c r="AM37" i="14" s="1"/>
  <c r="AL36" i="14"/>
  <c r="AL37" i="14" s="1"/>
  <c r="AJ36" i="14"/>
  <c r="AI36" i="14"/>
  <c r="AD36" i="14"/>
  <c r="AC36" i="14"/>
  <c r="Z36" i="14"/>
  <c r="Z37" i="14" s="1"/>
  <c r="X36" i="14"/>
  <c r="W36" i="14"/>
  <c r="U36" i="14"/>
  <c r="T36" i="14"/>
  <c r="T37" i="14" s="1"/>
  <c r="O36" i="14"/>
  <c r="O37" i="14" s="1"/>
  <c r="N36" i="14"/>
  <c r="N37" i="14" s="1"/>
  <c r="L36" i="14"/>
  <c r="L37" i="14" s="1"/>
  <c r="K36" i="14"/>
  <c r="K37" i="14" s="1"/>
  <c r="I36" i="14"/>
  <c r="H36" i="14"/>
  <c r="H37" i="14" s="1"/>
  <c r="E36" i="14"/>
  <c r="E37" i="14" s="1"/>
  <c r="C36" i="14"/>
  <c r="C37" i="14" s="1"/>
  <c r="B36" i="14"/>
  <c r="B37" i="14" s="1"/>
  <c r="CV35" i="14"/>
  <c r="CP35" i="14"/>
  <c r="CM35" i="14"/>
  <c r="CJ35" i="14"/>
  <c r="CG35" i="14"/>
  <c r="CD35" i="14"/>
  <c r="BX35" i="14"/>
  <c r="BW35" i="14"/>
  <c r="BW36" i="14" s="1"/>
  <c r="BV35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R35" i="14"/>
  <c r="S35" i="14" s="1"/>
  <c r="Q35" i="14"/>
  <c r="Q36" i="14" s="1"/>
  <c r="P35" i="14"/>
  <c r="M35" i="14"/>
  <c r="G35" i="14"/>
  <c r="D35" i="14"/>
  <c r="CV34" i="14"/>
  <c r="CP34" i="14"/>
  <c r="CM34" i="14"/>
  <c r="CJ34" i="14"/>
  <c r="CF34" i="14"/>
  <c r="CG34" i="14" s="1"/>
  <c r="CD34" i="14"/>
  <c r="CA34" i="14"/>
  <c r="BX34" i="14"/>
  <c r="BU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4" i="14"/>
  <c r="F36" i="14" s="1"/>
  <c r="D34" i="14"/>
  <c r="CV33" i="14"/>
  <c r="CS33" i="14"/>
  <c r="CP33" i="14"/>
  <c r="CM33" i="14"/>
  <c r="CJ33" i="14"/>
  <c r="CG33" i="14"/>
  <c r="CD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V32" i="14"/>
  <c r="CS32" i="14"/>
  <c r="CP32" i="14"/>
  <c r="CM32" i="14"/>
  <c r="CJ32" i="14"/>
  <c r="CG32" i="14"/>
  <c r="CD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2" i="14"/>
  <c r="AA36" i="14" s="1"/>
  <c r="AA37" i="14" s="1"/>
  <c r="Y32" i="14"/>
  <c r="V32" i="14"/>
  <c r="S32" i="14"/>
  <c r="P32" i="14"/>
  <c r="M32" i="14"/>
  <c r="J32" i="14"/>
  <c r="G32" i="14"/>
  <c r="D32" i="14"/>
  <c r="CV31" i="14"/>
  <c r="CS31" i="14"/>
  <c r="CP31" i="14"/>
  <c r="CM31" i="14"/>
  <c r="CJ31" i="14"/>
  <c r="CG31" i="14"/>
  <c r="CF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V30" i="14"/>
  <c r="CS30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V30" i="14"/>
  <c r="AV36" i="14" s="1"/>
  <c r="AU30" i="14"/>
  <c r="AU36" i="14" s="1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V29" i="14"/>
  <c r="CP29" i="14"/>
  <c r="CM29" i="14"/>
  <c r="CJ29" i="14"/>
  <c r="CF29" i="14"/>
  <c r="CG29" i="14" s="1"/>
  <c r="CD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G29" i="14"/>
  <c r="AF29" i="14"/>
  <c r="AH29" i="14" s="1"/>
  <c r="AE29" i="14"/>
  <c r="AB29" i="14"/>
  <c r="Y29" i="14"/>
  <c r="V29" i="14"/>
  <c r="S29" i="14"/>
  <c r="P29" i="14"/>
  <c r="M29" i="14"/>
  <c r="G29" i="14"/>
  <c r="D29" i="14"/>
  <c r="CV28" i="14"/>
  <c r="CP28" i="14"/>
  <c r="CM28" i="14"/>
  <c r="CJ28" i="14"/>
  <c r="CG28" i="14"/>
  <c r="CD28" i="14"/>
  <c r="BX28" i="14"/>
  <c r="BU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V27" i="14"/>
  <c r="CS27" i="14"/>
  <c r="CP27" i="14"/>
  <c r="CM27" i="14"/>
  <c r="CJ27" i="14"/>
  <c r="CG27" i="14"/>
  <c r="CD27" i="14"/>
  <c r="CA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V26" i="14"/>
  <c r="CS26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V25" i="14"/>
  <c r="CS25" i="14"/>
  <c r="CP25" i="14"/>
  <c r="CM25" i="14"/>
  <c r="CJ25" i="14"/>
  <c r="CG25" i="14"/>
  <c r="CD25" i="14"/>
  <c r="CA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V24" i="14"/>
  <c r="CS24" i="14"/>
  <c r="CP24" i="14"/>
  <c r="CM24" i="14"/>
  <c r="CJ24" i="14"/>
  <c r="CG24" i="14"/>
  <c r="CD24" i="14"/>
  <c r="CA24" i="14"/>
  <c r="CA36" i="14" s="1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V23" i="14"/>
  <c r="CS23" i="14"/>
  <c r="CO23" i="14"/>
  <c r="CO36" i="14" s="1"/>
  <c r="CO37" i="14" s="1"/>
  <c r="CM23" i="14"/>
  <c r="CJ23" i="14"/>
  <c r="CG23" i="14"/>
  <c r="CD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V22" i="14"/>
  <c r="CV36" i="14" s="1"/>
  <c r="CV37" i="14" s="1"/>
  <c r="CS36" i="14"/>
  <c r="CP22" i="14"/>
  <c r="CP36" i="14" s="1"/>
  <c r="CM22" i="14"/>
  <c r="CM36" i="14" s="1"/>
  <c r="CM37" i="14" s="1"/>
  <c r="CJ22" i="14"/>
  <c r="CJ36" i="14" s="1"/>
  <c r="CG22" i="14"/>
  <c r="CD22" i="14"/>
  <c r="CD36" i="14" s="1"/>
  <c r="BX22" i="14"/>
  <c r="BX36" i="14" s="1"/>
  <c r="BX37" i="14" s="1"/>
  <c r="BU22" i="14"/>
  <c r="BU36" i="14" s="1"/>
  <c r="BU37" i="14" s="1"/>
  <c r="BR36" i="14"/>
  <c r="BO22" i="14"/>
  <c r="BO36" i="14" s="1"/>
  <c r="BL22" i="14"/>
  <c r="BI22" i="14"/>
  <c r="BI36" i="14" s="1"/>
  <c r="BF22" i="14"/>
  <c r="BF36" i="14" s="1"/>
  <c r="BC22" i="14"/>
  <c r="BC36" i="14" s="1"/>
  <c r="AZ22" i="14"/>
  <c r="AW22" i="14"/>
  <c r="AT22" i="14"/>
  <c r="AT36" i="14" s="1"/>
  <c r="AQ22" i="14"/>
  <c r="AQ36" i="14" s="1"/>
  <c r="AN22" i="14"/>
  <c r="AN36" i="14" s="1"/>
  <c r="AN37" i="14" s="1"/>
  <c r="AK22" i="14"/>
  <c r="AH22" i="14"/>
  <c r="AH36" i="14" s="1"/>
  <c r="AG22" i="14"/>
  <c r="AG36" i="14" s="1"/>
  <c r="AF22" i="14"/>
  <c r="AF36" i="14" s="1"/>
  <c r="AF37" i="14" s="1"/>
  <c r="AE22" i="14"/>
  <c r="AB22" i="14"/>
  <c r="Y22" i="14"/>
  <c r="V22" i="14"/>
  <c r="V36" i="14" s="1"/>
  <c r="S22" i="14"/>
  <c r="S36" i="14" s="1"/>
  <c r="P22" i="14"/>
  <c r="P36" i="14" s="1"/>
  <c r="M22" i="14"/>
  <c r="M36" i="14" s="1"/>
  <c r="J36" i="14"/>
  <c r="G22" i="14"/>
  <c r="D22" i="14"/>
  <c r="D36" i="14" s="1"/>
  <c r="CU20" i="14"/>
  <c r="CU37" i="14" s="1"/>
  <c r="CT20" i="14"/>
  <c r="CR20" i="14"/>
  <c r="CR37" i="14" s="1"/>
  <c r="CQ20" i="14"/>
  <c r="CQ37" i="14" s="1"/>
  <c r="CO20" i="14"/>
  <c r="CL20" i="14"/>
  <c r="CK20" i="14"/>
  <c r="CK37" i="14" s="1"/>
  <c r="CI20" i="14"/>
  <c r="CI37" i="14" s="1"/>
  <c r="CH20" i="14"/>
  <c r="CC20" i="14"/>
  <c r="CC37" i="14" s="1"/>
  <c r="CB20" i="14"/>
  <c r="CB37" i="14" s="1"/>
  <c r="BZ20" i="14"/>
  <c r="BY20" i="14"/>
  <c r="BT20" i="14"/>
  <c r="BS20" i="14"/>
  <c r="BQ20" i="14"/>
  <c r="BP20" i="14"/>
  <c r="BN20" i="14"/>
  <c r="BM20" i="14"/>
  <c r="BM37" i="14" s="1"/>
  <c r="BK20" i="14"/>
  <c r="BJ20" i="14"/>
  <c r="BH20" i="14"/>
  <c r="BG20" i="14"/>
  <c r="BE20" i="14"/>
  <c r="BE37" i="14" s="1"/>
  <c r="BD20" i="14"/>
  <c r="BB20" i="14"/>
  <c r="BA20" i="14"/>
  <c r="AY20" i="14"/>
  <c r="AX20" i="14"/>
  <c r="AS20" i="14"/>
  <c r="AR20" i="14"/>
  <c r="AM20" i="14"/>
  <c r="AL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I37" i="14" s="1"/>
  <c r="H20" i="14"/>
  <c r="E20" i="14"/>
  <c r="C20" i="14"/>
  <c r="B20" i="14"/>
  <c r="CV19" i="14"/>
  <c r="CO19" i="14"/>
  <c r="CN19" i="14"/>
  <c r="CP19" i="14" s="1"/>
  <c r="CM19" i="14"/>
  <c r="CJ19" i="14"/>
  <c r="CG19" i="14"/>
  <c r="CD19" i="14"/>
  <c r="BW19" i="14"/>
  <c r="BX19" i="14" s="1"/>
  <c r="BV19" i="14"/>
  <c r="BV20" i="14" s="1"/>
  <c r="BU19" i="14"/>
  <c r="BR19" i="14"/>
  <c r="BO19" i="14"/>
  <c r="BL19" i="14"/>
  <c r="BI19" i="14"/>
  <c r="BF19" i="14"/>
  <c r="BC19" i="14"/>
  <c r="AZ19" i="14"/>
  <c r="AW19" i="14"/>
  <c r="AT19" i="14"/>
  <c r="AP19" i="14"/>
  <c r="AP20" i="14" s="1"/>
  <c r="AO19" i="14"/>
  <c r="AO20" i="14" s="1"/>
  <c r="AO37" i="14" s="1"/>
  <c r="AN19" i="14"/>
  <c r="AK19" i="14"/>
  <c r="AH19" i="14"/>
  <c r="AE19" i="14"/>
  <c r="AB19" i="14"/>
  <c r="Y19" i="14"/>
  <c r="U19" i="14"/>
  <c r="V19" i="14" s="1"/>
  <c r="T19" i="14"/>
  <c r="T20" i="14" s="1"/>
  <c r="R19" i="14"/>
  <c r="R20" i="14" s="1"/>
  <c r="Q19" i="14"/>
  <c r="Q20" i="14" s="1"/>
  <c r="P19" i="14"/>
  <c r="M19" i="14"/>
  <c r="J19" i="14"/>
  <c r="G19" i="14"/>
  <c r="D19" i="14"/>
  <c r="CV18" i="14"/>
  <c r="CP18" i="14"/>
  <c r="CM18" i="14"/>
  <c r="CJ18" i="14"/>
  <c r="CF18" i="14"/>
  <c r="CG18" i="14" s="1"/>
  <c r="CE18" i="14"/>
  <c r="CE20" i="14" s="1"/>
  <c r="CE37" i="14" s="1"/>
  <c r="CD18" i="14"/>
  <c r="CA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F18" i="14"/>
  <c r="F20" i="14" s="1"/>
  <c r="E18" i="14"/>
  <c r="D18" i="14"/>
  <c r="CV17" i="14"/>
  <c r="CS17" i="14"/>
  <c r="CP17" i="14"/>
  <c r="CM17" i="14"/>
  <c r="CJ17" i="14"/>
  <c r="CG17" i="14"/>
  <c r="CD17" i="14"/>
  <c r="CA17" i="14"/>
  <c r="BX17" i="14"/>
  <c r="BU17" i="14"/>
  <c r="BR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V16" i="14"/>
  <c r="CS16" i="14"/>
  <c r="CP16" i="14"/>
  <c r="CM16" i="14"/>
  <c r="CJ16" i="14"/>
  <c r="CG16" i="14"/>
  <c r="CD16" i="14"/>
  <c r="CA16" i="14"/>
  <c r="BX16" i="14"/>
  <c r="BU16" i="14"/>
  <c r="BO16" i="14"/>
  <c r="BL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V15" i="14"/>
  <c r="CS15" i="14"/>
  <c r="CP15" i="14"/>
  <c r="CM15" i="14"/>
  <c r="CJ15" i="14"/>
  <c r="CG15" i="14"/>
  <c r="CD15" i="14"/>
  <c r="CA15" i="14"/>
  <c r="BX15" i="14"/>
  <c r="BU15" i="14"/>
  <c r="BR15" i="14"/>
  <c r="BO15" i="14"/>
  <c r="BL15" i="14"/>
  <c r="BF15" i="14"/>
  <c r="BC15" i="14"/>
  <c r="AZ15" i="14"/>
  <c r="AV15" i="14"/>
  <c r="AV20" i="14" s="1"/>
  <c r="AU15" i="14"/>
  <c r="AU20" i="14" s="1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V14" i="14"/>
  <c r="CS14" i="14"/>
  <c r="CP14" i="14"/>
  <c r="CM14" i="14"/>
  <c r="CJ14" i="14"/>
  <c r="CG14" i="14"/>
  <c r="CD14" i="14"/>
  <c r="CA14" i="14"/>
  <c r="BX14" i="14"/>
  <c r="BU14" i="14"/>
  <c r="BO14" i="14"/>
  <c r="BL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V13" i="14"/>
  <c r="CP13" i="14"/>
  <c r="CM13" i="14"/>
  <c r="CJ13" i="14"/>
  <c r="CG13" i="14"/>
  <c r="CD13" i="14"/>
  <c r="BX13" i="14"/>
  <c r="BU13" i="14"/>
  <c r="BO13" i="14"/>
  <c r="BL13" i="14"/>
  <c r="BF13" i="14"/>
  <c r="BC13" i="14"/>
  <c r="AZ13" i="14"/>
  <c r="AW13" i="14"/>
  <c r="AT13" i="14"/>
  <c r="AQ13" i="14"/>
  <c r="AN13" i="14"/>
  <c r="AK13" i="14"/>
  <c r="AG13" i="14"/>
  <c r="AF13" i="14"/>
  <c r="AH13" i="14" s="1"/>
  <c r="AE13" i="14"/>
  <c r="AB13" i="14"/>
  <c r="Y13" i="14"/>
  <c r="V13" i="14"/>
  <c r="S13" i="14"/>
  <c r="P13" i="14"/>
  <c r="M13" i="14"/>
  <c r="G13" i="14"/>
  <c r="D13" i="14"/>
  <c r="CV12" i="14"/>
  <c r="CS12" i="14"/>
  <c r="CP12" i="14"/>
  <c r="CM12" i="14"/>
  <c r="CJ12" i="14"/>
  <c r="CG12" i="14"/>
  <c r="CD12" i="14"/>
  <c r="CA12" i="14"/>
  <c r="BX12" i="14"/>
  <c r="BU12" i="14"/>
  <c r="BR12" i="14"/>
  <c r="BO12" i="14"/>
  <c r="BL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V11" i="14"/>
  <c r="CS11" i="14"/>
  <c r="CP11" i="14"/>
  <c r="CM11" i="14"/>
  <c r="CJ11" i="14"/>
  <c r="CG11" i="14"/>
  <c r="CD11" i="14"/>
  <c r="CA11" i="14"/>
  <c r="BX11" i="14"/>
  <c r="BU11" i="14"/>
  <c r="BO11" i="14"/>
  <c r="BL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V10" i="14"/>
  <c r="CP10" i="14"/>
  <c r="CM10" i="14"/>
  <c r="CJ10" i="14"/>
  <c r="CG10" i="14"/>
  <c r="CD10" i="14"/>
  <c r="BX10" i="14"/>
  <c r="BU10" i="14"/>
  <c r="BO10" i="14"/>
  <c r="BL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V9" i="14"/>
  <c r="CS9" i="14"/>
  <c r="CP9" i="14"/>
  <c r="CM9" i="14"/>
  <c r="CJ9" i="14"/>
  <c r="CG9" i="14"/>
  <c r="CD9" i="14"/>
  <c r="CA9" i="14"/>
  <c r="BX9" i="14"/>
  <c r="BU9" i="14"/>
  <c r="BR9" i="14"/>
  <c r="BO9" i="14"/>
  <c r="BL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V8" i="14"/>
  <c r="CS8" i="14"/>
  <c r="CP8" i="14"/>
  <c r="CM8" i="14"/>
  <c r="CJ8" i="14"/>
  <c r="CG8" i="14"/>
  <c r="CD8" i="14"/>
  <c r="CA8" i="14"/>
  <c r="CA20" i="14" s="1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V7" i="14"/>
  <c r="CS7" i="14"/>
  <c r="CP7" i="14"/>
  <c r="CM7" i="14"/>
  <c r="CJ7" i="14"/>
  <c r="CG7" i="14"/>
  <c r="CD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V6" i="14"/>
  <c r="CV20" i="14" s="1"/>
  <c r="CS20" i="14"/>
  <c r="CP6" i="14"/>
  <c r="CP20" i="14" s="1"/>
  <c r="CM6" i="14"/>
  <c r="CM20" i="14" s="1"/>
  <c r="CJ6" i="14"/>
  <c r="CJ20" i="14" s="1"/>
  <c r="CG6" i="14"/>
  <c r="CG20" i="14" s="1"/>
  <c r="CD6" i="14"/>
  <c r="CD20" i="14" s="1"/>
  <c r="BX6" i="14"/>
  <c r="BX20" i="14" s="1"/>
  <c r="BU6" i="14"/>
  <c r="BU20" i="14" s="1"/>
  <c r="BR20" i="14"/>
  <c r="BO6" i="14"/>
  <c r="BO20" i="14" s="1"/>
  <c r="BL6" i="14"/>
  <c r="BI6" i="14"/>
  <c r="BI20" i="14" s="1"/>
  <c r="BF6" i="14"/>
  <c r="BF20" i="14" s="1"/>
  <c r="BC6" i="14"/>
  <c r="BC20" i="14" s="1"/>
  <c r="AZ6" i="14"/>
  <c r="AW6" i="14"/>
  <c r="AT6" i="14"/>
  <c r="AT20" i="14" s="1"/>
  <c r="AQ6" i="14"/>
  <c r="AN6" i="14"/>
  <c r="AN20" i="14" s="1"/>
  <c r="AK6" i="14"/>
  <c r="AG6" i="14"/>
  <c r="AG20" i="14" s="1"/>
  <c r="AF6" i="14"/>
  <c r="AF20" i="14" s="1"/>
  <c r="AE6" i="14"/>
  <c r="AB6" i="14"/>
  <c r="AB20" i="14" s="1"/>
  <c r="Y6" i="14"/>
  <c r="V6" i="14"/>
  <c r="V20" i="14" s="1"/>
  <c r="S6" i="14"/>
  <c r="P6" i="14"/>
  <c r="P20" i="14" s="1"/>
  <c r="M6" i="14"/>
  <c r="M20" i="14" s="1"/>
  <c r="J20" i="14"/>
  <c r="G6" i="14"/>
  <c r="D6" i="14"/>
  <c r="D20" i="14" s="1"/>
  <c r="AY37" i="14" l="1"/>
  <c r="AZ36" i="14"/>
  <c r="AZ20" i="14"/>
  <c r="AX37" i="14"/>
  <c r="J37" i="14"/>
  <c r="BK37" i="14"/>
  <c r="BL36" i="14"/>
  <c r="BL20" i="14"/>
  <c r="BJ37" i="14"/>
  <c r="X37" i="14"/>
  <c r="Y20" i="14"/>
  <c r="Y36" i="14"/>
  <c r="W37" i="14"/>
  <c r="AD37" i="14"/>
  <c r="AE36" i="14"/>
  <c r="AE20" i="14"/>
  <c r="AC37" i="14"/>
  <c r="AI37" i="14"/>
  <c r="AK36" i="14"/>
  <c r="AK20" i="14"/>
  <c r="AJ37" i="14"/>
  <c r="AJ19" i="16"/>
  <c r="AJ11" i="16"/>
  <c r="AJ15" i="16"/>
  <c r="BO37" i="14"/>
  <c r="AV37" i="14"/>
  <c r="D37" i="14"/>
  <c r="AT37" i="14"/>
  <c r="BR37" i="14"/>
  <c r="CS37" i="14"/>
  <c r="BW37" i="14"/>
  <c r="BV37" i="14"/>
  <c r="AW20" i="14"/>
  <c r="M37" i="14"/>
  <c r="AG37" i="14"/>
  <c r="BC37" i="14"/>
  <c r="CD37" i="14"/>
  <c r="CA37" i="14"/>
  <c r="Q37" i="14"/>
  <c r="P37" i="14"/>
  <c r="BF37" i="14"/>
  <c r="CG36" i="14"/>
  <c r="CG37" i="14" s="1"/>
  <c r="BI37" i="14"/>
  <c r="CJ37" i="14"/>
  <c r="V37" i="14"/>
  <c r="AU37" i="14"/>
  <c r="F37" i="14"/>
  <c r="AP37" i="14"/>
  <c r="CP37" i="14"/>
  <c r="AQ19" i="14"/>
  <c r="AQ20" i="14" s="1"/>
  <c r="AQ37" i="14" s="1"/>
  <c r="BW20" i="14"/>
  <c r="AH6" i="14"/>
  <c r="AH20" i="14" s="1"/>
  <c r="AH37" i="14" s="1"/>
  <c r="CF20" i="14"/>
  <c r="CN20" i="14"/>
  <c r="CN37" i="14" s="1"/>
  <c r="AB32" i="14"/>
  <c r="AB36" i="14" s="1"/>
  <c r="AB37" i="14" s="1"/>
  <c r="U20" i="14"/>
  <c r="U37" i="14" s="1"/>
  <c r="R36" i="14"/>
  <c r="R37" i="14" s="1"/>
  <c r="G18" i="14"/>
  <c r="G20" i="14" s="1"/>
  <c r="AW15" i="14"/>
  <c r="S19" i="14"/>
  <c r="S20" i="14" s="1"/>
  <c r="S37" i="14" s="1"/>
  <c r="AW30" i="14"/>
  <c r="AW36" i="14" s="1"/>
  <c r="AW37" i="14" s="1"/>
  <c r="CF36" i="14"/>
  <c r="G34" i="14"/>
  <c r="G36" i="14" s="1"/>
  <c r="G37" i="14" s="1"/>
  <c r="AZ37" i="14" l="1"/>
  <c r="BL37" i="14"/>
  <c r="Y37" i="14"/>
  <c r="AE37" i="14"/>
  <c r="AK37" i="14"/>
  <c r="CF37" i="14"/>
  <c r="EA14" i="2" l="1"/>
  <c r="DZ14" i="2"/>
  <c r="DY14" i="2"/>
  <c r="DX14" i="2"/>
  <c r="DW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FO14" i="2"/>
  <c r="FN14" i="2"/>
  <c r="FM14" i="2"/>
  <c r="FL14" i="2"/>
  <c r="FK14" i="2"/>
  <c r="FJ14" i="2"/>
  <c r="FI14" i="2"/>
  <c r="FH14" i="2"/>
  <c r="FG14" i="2"/>
  <c r="FF14" i="2"/>
  <c r="FE14" i="2"/>
  <c r="FD14" i="2"/>
  <c r="FC14" i="2"/>
  <c r="FB14" i="2"/>
  <c r="FA14" i="2"/>
  <c r="EZ14" i="2"/>
  <c r="EY14" i="2"/>
  <c r="EX14" i="2"/>
  <c r="EW14" i="2"/>
  <c r="EV14" i="2"/>
  <c r="EU14" i="2"/>
  <c r="ET14" i="2"/>
  <c r="ES14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D14" i="2"/>
  <c r="AC14" i="2"/>
  <c r="AB14" i="2"/>
  <c r="AA14" i="2"/>
  <c r="Y14" i="2"/>
  <c r="X14" i="2"/>
  <c r="W14" i="2"/>
  <c r="V14" i="2"/>
  <c r="BO11" i="3"/>
  <c r="BM11" i="3"/>
  <c r="BZ11" i="3"/>
  <c r="BZ10" i="3"/>
  <c r="BZ9" i="3"/>
  <c r="BZ8" i="3"/>
  <c r="BZ7" i="3"/>
  <c r="BZ6" i="3"/>
  <c r="BZ5" i="3"/>
  <c r="AG7" i="8" l="1"/>
  <c r="AE7" i="8"/>
  <c r="Z7" i="8"/>
  <c r="U7" i="8"/>
  <c r="T7" i="8"/>
  <c r="S7" i="8"/>
  <c r="Q7" i="8"/>
  <c r="H7" i="8"/>
  <c r="AI7" i="8"/>
  <c r="AC7" i="8"/>
  <c r="Y7" i="8"/>
  <c r="R7" i="8"/>
  <c r="P7" i="8"/>
  <c r="O7" i="8"/>
  <c r="G7" i="8"/>
  <c r="AG23" i="7"/>
  <c r="Z23" i="7"/>
  <c r="W23" i="7"/>
  <c r="AI23" i="7"/>
  <c r="P23" i="7" l="1"/>
  <c r="O23" i="7"/>
  <c r="AE10" i="6"/>
  <c r="AD10" i="6"/>
  <c r="R10" i="6"/>
  <c r="BL11" i="6" l="1"/>
  <c r="Z13" i="1"/>
  <c r="Z11" i="1"/>
  <c r="Z10" i="1"/>
  <c r="Z9" i="1"/>
  <c r="Z8" i="1"/>
  <c r="Z7" i="1"/>
  <c r="Z5" i="1"/>
  <c r="Z4" i="1"/>
  <c r="W13" i="1"/>
  <c r="W11" i="1"/>
  <c r="W10" i="1"/>
  <c r="W9" i="1"/>
  <c r="W8" i="1"/>
  <c r="W7" i="1"/>
  <c r="W5" i="1"/>
  <c r="W4" i="1"/>
  <c r="S13" i="1"/>
  <c r="S11" i="1"/>
  <c r="S10" i="1"/>
  <c r="S9" i="1"/>
  <c r="S8" i="1"/>
  <c r="S7" i="1"/>
  <c r="S5" i="1"/>
  <c r="S4" i="1"/>
  <c r="Q13" i="1"/>
  <c r="Q11" i="1"/>
  <c r="Q10" i="1"/>
  <c r="Q9" i="1"/>
  <c r="Q8" i="1"/>
  <c r="Q7" i="1"/>
  <c r="Q5" i="1"/>
  <c r="Q4" i="1"/>
  <c r="H13" i="1"/>
  <c r="H11" i="1"/>
  <c r="H10" i="1"/>
  <c r="H9" i="1"/>
  <c r="H8" i="1"/>
  <c r="H7" i="1"/>
  <c r="H5" i="1"/>
  <c r="H4" i="1"/>
  <c r="AI4" i="1"/>
  <c r="AI5" i="1"/>
  <c r="AI7" i="1"/>
  <c r="AI8" i="1"/>
  <c r="AI9" i="1"/>
  <c r="AI10" i="1"/>
  <c r="AI11" i="1"/>
  <c r="AI13" i="1"/>
  <c r="AC8" i="1"/>
  <c r="AC13" i="1"/>
  <c r="AC11" i="1"/>
  <c r="AC10" i="1"/>
  <c r="AC9" i="1"/>
  <c r="AC7" i="1"/>
  <c r="AC5" i="1"/>
  <c r="AC4" i="1"/>
  <c r="L5" i="1"/>
  <c r="AJ23" i="7" l="1"/>
  <c r="AJ19" i="7"/>
  <c r="AJ18" i="7"/>
  <c r="AJ17" i="7"/>
  <c r="AJ13" i="7"/>
  <c r="AJ12" i="7"/>
  <c r="AJ11" i="7"/>
  <c r="AJ10" i="7"/>
  <c r="AJ9" i="7"/>
  <c r="AJ7" i="7"/>
  <c r="AJ6" i="7"/>
  <c r="AJ5" i="7"/>
  <c r="AI22" i="7"/>
  <c r="AI24" i="7" s="1"/>
  <c r="AH22" i="7"/>
  <c r="AH24" i="7" s="1"/>
  <c r="AG22" i="7"/>
  <c r="AG24" i="7" s="1"/>
  <c r="AF22" i="7"/>
  <c r="AF24" i="7" s="1"/>
  <c r="AE22" i="7"/>
  <c r="AE24" i="7" s="1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U22" i="7"/>
  <c r="U24" i="7" s="1"/>
  <c r="T22" i="7"/>
  <c r="T24" i="7" s="1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E24" i="7" s="1"/>
  <c r="D22" i="7"/>
  <c r="D24" i="7" s="1"/>
  <c r="C22" i="7"/>
  <c r="C24" i="7" s="1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22" i="7"/>
  <c r="B24" i="7" s="1"/>
  <c r="B20" i="7"/>
  <c r="B14" i="7"/>
  <c r="AJ28" i="8"/>
  <c r="AJ27" i="8"/>
  <c r="AJ26" i="8"/>
  <c r="AJ23" i="8"/>
  <c r="AJ22" i="8"/>
  <c r="AJ20" i="8"/>
  <c r="AJ19" i="8"/>
  <c r="AJ18" i="8"/>
  <c r="AJ17" i="8"/>
  <c r="AJ16" i="8"/>
  <c r="AJ15" i="8"/>
  <c r="AJ13" i="8"/>
  <c r="AJ12" i="8"/>
  <c r="AJ10" i="8"/>
  <c r="AJ8" i="8"/>
  <c r="AJ7" i="8"/>
  <c r="AJ6" i="8"/>
  <c r="AJ5" i="8"/>
  <c r="AG25" i="8"/>
  <c r="O25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G25" i="8" s="1"/>
  <c r="F24" i="8"/>
  <c r="E24" i="8"/>
  <c r="D24" i="8"/>
  <c r="C24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T25" i="8" s="1"/>
  <c r="S21" i="8"/>
  <c r="S25" i="8" s="1"/>
  <c r="R21" i="8"/>
  <c r="Q21" i="8"/>
  <c r="Q25" i="8" s="1"/>
  <c r="P21" i="8"/>
  <c r="O21" i="8"/>
  <c r="N21" i="8"/>
  <c r="M21" i="8"/>
  <c r="L21" i="8"/>
  <c r="K21" i="8"/>
  <c r="K25" i="8" s="1"/>
  <c r="J21" i="8"/>
  <c r="I21" i="8"/>
  <c r="H21" i="8"/>
  <c r="G21" i="8"/>
  <c r="F21" i="8"/>
  <c r="E21" i="8"/>
  <c r="D21" i="8"/>
  <c r="C21" i="8"/>
  <c r="C25" i="8" s="1"/>
  <c r="AI14" i="8"/>
  <c r="AG14" i="8"/>
  <c r="AD14" i="8"/>
  <c r="AC14" i="8"/>
  <c r="AA14" i="8"/>
  <c r="Z14" i="8"/>
  <c r="Y14" i="8"/>
  <c r="V14" i="8"/>
  <c r="U14" i="8"/>
  <c r="T14" i="8"/>
  <c r="S14" i="8"/>
  <c r="R14" i="8"/>
  <c r="Q14" i="8"/>
  <c r="P14" i="8"/>
  <c r="O14" i="8"/>
  <c r="N14" i="8"/>
  <c r="K14" i="8"/>
  <c r="J14" i="8"/>
  <c r="I14" i="8"/>
  <c r="H14" i="8"/>
  <c r="G14" i="8"/>
  <c r="E14" i="8"/>
  <c r="C14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5" i="8" s="1"/>
  <c r="B21" i="8"/>
  <c r="B14" i="8"/>
  <c r="B9" i="8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73" i="9"/>
  <c r="B72" i="9"/>
  <c r="B69" i="9"/>
  <c r="AJ81" i="9"/>
  <c r="AJ80" i="9"/>
  <c r="AJ77" i="9"/>
  <c r="AJ65" i="9"/>
  <c r="AJ64" i="9"/>
  <c r="AJ61" i="9"/>
  <c r="AJ57" i="9"/>
  <c r="AJ56" i="9"/>
  <c r="AJ53" i="9"/>
  <c r="AJ49" i="9"/>
  <c r="AJ48" i="9"/>
  <c r="AJ45" i="9"/>
  <c r="AJ41" i="9"/>
  <c r="AJ40" i="9"/>
  <c r="AJ37" i="9"/>
  <c r="AJ33" i="9"/>
  <c r="AJ32" i="9"/>
  <c r="AJ29" i="9"/>
  <c r="AJ25" i="9"/>
  <c r="AJ24" i="9"/>
  <c r="AJ21" i="9"/>
  <c r="AJ17" i="9"/>
  <c r="AJ16" i="9"/>
  <c r="AJ13" i="9"/>
  <c r="AJ9" i="9"/>
  <c r="AJ8" i="9"/>
  <c r="AJ5" i="9"/>
  <c r="AI91" i="10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91" i="10"/>
  <c r="B85" i="10"/>
  <c r="AJ95" i="10"/>
  <c r="AJ81" i="10"/>
  <c r="AJ75" i="10"/>
  <c r="AJ71" i="10"/>
  <c r="AJ65" i="10"/>
  <c r="AJ61" i="10"/>
  <c r="AJ55" i="10"/>
  <c r="AJ51" i="10"/>
  <c r="AJ45" i="10"/>
  <c r="AJ41" i="10"/>
  <c r="AJ35" i="10"/>
  <c r="AJ31" i="10"/>
  <c r="AJ25" i="10"/>
  <c r="AJ21" i="10"/>
  <c r="AJ15" i="10"/>
  <c r="AJ11" i="10"/>
  <c r="AJ5" i="10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4" i="11"/>
  <c r="B61" i="11"/>
  <c r="AJ71" i="11"/>
  <c r="AJ68" i="11"/>
  <c r="AJ57" i="11"/>
  <c r="AJ54" i="11"/>
  <c r="AJ50" i="11"/>
  <c r="AJ47" i="11"/>
  <c r="AJ43" i="11"/>
  <c r="AJ40" i="11"/>
  <c r="AJ36" i="11"/>
  <c r="AJ33" i="11"/>
  <c r="AJ29" i="11"/>
  <c r="AJ26" i="11"/>
  <c r="AJ22" i="11"/>
  <c r="AJ19" i="11"/>
  <c r="AJ15" i="11"/>
  <c r="AJ12" i="11"/>
  <c r="AJ8" i="11"/>
  <c r="AJ5" i="11"/>
  <c r="AJ17" i="12"/>
  <c r="AJ16" i="12"/>
  <c r="AJ15" i="12"/>
  <c r="AJ13" i="12"/>
  <c r="AJ12" i="12"/>
  <c r="AJ11" i="12"/>
  <c r="AJ10" i="12"/>
  <c r="AJ9" i="12"/>
  <c r="AJ8" i="12"/>
  <c r="AJ7" i="12"/>
  <c r="AJ6" i="12"/>
  <c r="AJ5" i="12"/>
  <c r="AJ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X14" i="3"/>
  <c r="CU14" i="3"/>
  <c r="CR14" i="3"/>
  <c r="CO14" i="3"/>
  <c r="CL14" i="3"/>
  <c r="CI14" i="3"/>
  <c r="CF14" i="3"/>
  <c r="CC14" i="3"/>
  <c r="BW14" i="3"/>
  <c r="BT14" i="3"/>
  <c r="BQ14" i="3"/>
  <c r="BN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14" i="3"/>
  <c r="CX13" i="3"/>
  <c r="CU13" i="3"/>
  <c r="CR13" i="3"/>
  <c r="CO13" i="3"/>
  <c r="CL13" i="3"/>
  <c r="CI13" i="3"/>
  <c r="CF13" i="3"/>
  <c r="CC13" i="3"/>
  <c r="BW13" i="3"/>
  <c r="BT13" i="3"/>
  <c r="BQ13" i="3"/>
  <c r="BN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13" i="3"/>
  <c r="CX12" i="3"/>
  <c r="CU12" i="3"/>
  <c r="CR12" i="3"/>
  <c r="CO12" i="3"/>
  <c r="CL12" i="3"/>
  <c r="CI12" i="3"/>
  <c r="CF12" i="3"/>
  <c r="CC12" i="3"/>
  <c r="BW12" i="3"/>
  <c r="BT12" i="3"/>
  <c r="BQ12" i="3"/>
  <c r="BN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12" i="3"/>
  <c r="CX11" i="3"/>
  <c r="CU11" i="3"/>
  <c r="CR11" i="3"/>
  <c r="CO11" i="3"/>
  <c r="CL11" i="3"/>
  <c r="CI11" i="3"/>
  <c r="CF11" i="3"/>
  <c r="CC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11" i="3"/>
  <c r="CX10" i="3"/>
  <c r="CU10" i="3"/>
  <c r="CR10" i="3"/>
  <c r="CO10" i="3"/>
  <c r="CL10" i="3"/>
  <c r="CI10" i="3"/>
  <c r="CF10" i="3"/>
  <c r="CC10" i="3"/>
  <c r="BW10" i="3"/>
  <c r="BT10" i="3"/>
  <c r="BQ10" i="3"/>
  <c r="BN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10" i="3"/>
  <c r="CX9" i="3"/>
  <c r="CU9" i="3"/>
  <c r="CR9" i="3"/>
  <c r="CO9" i="3"/>
  <c r="CL9" i="3"/>
  <c r="CI9" i="3"/>
  <c r="CF9" i="3"/>
  <c r="CC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9" i="3"/>
  <c r="CX8" i="3"/>
  <c r="CU8" i="3"/>
  <c r="CR8" i="3"/>
  <c r="CO8" i="3"/>
  <c r="CL8" i="3"/>
  <c r="CI8" i="3"/>
  <c r="CF8" i="3"/>
  <c r="CC8" i="3"/>
  <c r="BW8" i="3"/>
  <c r="BT8" i="3"/>
  <c r="BQ8" i="3"/>
  <c r="BN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8" i="3"/>
  <c r="CX7" i="3"/>
  <c r="CU7" i="3"/>
  <c r="CR7" i="3"/>
  <c r="CO7" i="3"/>
  <c r="CL7" i="3"/>
  <c r="CI7" i="3"/>
  <c r="CF7" i="3"/>
  <c r="CC7" i="3"/>
  <c r="BW7" i="3"/>
  <c r="BT7" i="3"/>
  <c r="BQ7" i="3"/>
  <c r="BN7" i="3"/>
  <c r="BH7" i="3"/>
  <c r="BE7" i="3"/>
  <c r="BB7" i="3"/>
  <c r="AY7" i="3"/>
  <c r="AV7" i="3"/>
  <c r="AS7" i="3"/>
  <c r="AP7" i="3"/>
  <c r="AM7" i="3"/>
  <c r="AJ7" i="3"/>
  <c r="AG7" i="3"/>
  <c r="AD7" i="3"/>
  <c r="AA7" i="3"/>
  <c r="X7" i="3"/>
  <c r="U7" i="3"/>
  <c r="R7" i="3"/>
  <c r="O7" i="3"/>
  <c r="L7" i="3"/>
  <c r="I7" i="3"/>
  <c r="F7" i="3"/>
  <c r="C7" i="3"/>
  <c r="CX6" i="3"/>
  <c r="CU6" i="3"/>
  <c r="CR6" i="3"/>
  <c r="CO6" i="3"/>
  <c r="CL6" i="3"/>
  <c r="CI6" i="3"/>
  <c r="CF6" i="3"/>
  <c r="CC6" i="3"/>
  <c r="BW6" i="3"/>
  <c r="BT6" i="3"/>
  <c r="BQ6" i="3"/>
  <c r="BN6" i="3"/>
  <c r="BH6" i="3"/>
  <c r="BE6" i="3"/>
  <c r="BB6" i="3"/>
  <c r="AY6" i="3"/>
  <c r="AV6" i="3"/>
  <c r="AS6" i="3"/>
  <c r="AP6" i="3"/>
  <c r="AM6" i="3"/>
  <c r="AJ6" i="3"/>
  <c r="AG6" i="3"/>
  <c r="AD6" i="3"/>
  <c r="AA6" i="3"/>
  <c r="X6" i="3"/>
  <c r="U6" i="3"/>
  <c r="R6" i="3"/>
  <c r="O6" i="3"/>
  <c r="L6" i="3"/>
  <c r="I6" i="3"/>
  <c r="F6" i="3"/>
  <c r="C6" i="3"/>
  <c r="CX5" i="3"/>
  <c r="CU5" i="3"/>
  <c r="CR5" i="3"/>
  <c r="CO5" i="3"/>
  <c r="CL5" i="3"/>
  <c r="CI5" i="3"/>
  <c r="CF5" i="3"/>
  <c r="CC5" i="3"/>
  <c r="BW5" i="3"/>
  <c r="BT5" i="3"/>
  <c r="BQ5" i="3"/>
  <c r="BN5" i="3"/>
  <c r="BH5" i="3"/>
  <c r="BE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D25" i="8" l="1"/>
  <c r="V25" i="8"/>
  <c r="I25" i="8"/>
  <c r="AH25" i="8"/>
  <c r="X25" i="8"/>
  <c r="M25" i="8"/>
  <c r="AJ69" i="9"/>
  <c r="AJ72" i="9"/>
  <c r="AJ14" i="12"/>
  <c r="AE25" i="8"/>
  <c r="AA25" i="8"/>
  <c r="Z25" i="8"/>
  <c r="W25" i="8"/>
  <c r="U25" i="8"/>
  <c r="H25" i="8"/>
  <c r="E25" i="8"/>
  <c r="AI25" i="8"/>
  <c r="AF25" i="8"/>
  <c r="AD25" i="8"/>
  <c r="AC25" i="8"/>
  <c r="AB25" i="8"/>
  <c r="Y25" i="8"/>
  <c r="R25" i="8"/>
  <c r="P25" i="8"/>
  <c r="N25" i="8"/>
  <c r="L25" i="8"/>
  <c r="J25" i="8"/>
  <c r="AJ14" i="8"/>
  <c r="AJ24" i="8"/>
  <c r="AJ9" i="8"/>
  <c r="F25" i="8"/>
  <c r="AJ21" i="8"/>
  <c r="AJ73" i="9"/>
  <c r="AJ85" i="10"/>
  <c r="AJ61" i="11"/>
  <c r="AJ64" i="11"/>
  <c r="AJ25" i="8" l="1"/>
  <c r="BS13" i="6"/>
  <c r="BR13" i="6"/>
  <c r="BS12" i="6"/>
  <c r="BR12" i="6"/>
  <c r="BS10" i="6"/>
  <c r="BR10" i="6"/>
  <c r="BS9" i="6"/>
  <c r="BR9" i="6"/>
  <c r="BS8" i="6"/>
  <c r="BR8" i="6"/>
  <c r="BS7" i="6"/>
  <c r="BR7" i="6"/>
  <c r="BS6" i="6"/>
  <c r="BR6" i="6"/>
  <c r="BS5" i="6"/>
  <c r="BR5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Q11" i="6"/>
  <c r="BP11" i="6"/>
  <c r="BO11" i="6"/>
  <c r="BN11" i="6"/>
  <c r="BM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4" i="6"/>
  <c r="B11" i="6"/>
  <c r="AJ15" i="18"/>
  <c r="AJ13" i="18"/>
  <c r="AJ12" i="18"/>
  <c r="AJ11" i="18"/>
  <c r="AJ10" i="18"/>
  <c r="AJ9" i="18"/>
  <c r="AJ8" i="18"/>
  <c r="AJ7" i="18"/>
  <c r="AJ6" i="18"/>
  <c r="AJ5" i="18"/>
  <c r="AJ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J16" i="17"/>
  <c r="AJ14" i="17"/>
  <c r="AJ13" i="17"/>
  <c r="AJ12" i="17"/>
  <c r="AJ11" i="17"/>
  <c r="AJ10" i="17"/>
  <c r="AJ9" i="17"/>
  <c r="AJ8" i="17"/>
  <c r="AJ7" i="17"/>
  <c r="AJ6" i="17"/>
  <c r="AJ5" i="17"/>
  <c r="AJ4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J31" i="15"/>
  <c r="AJ30" i="15"/>
  <c r="AJ27" i="15"/>
  <c r="AJ26" i="15"/>
  <c r="AJ25" i="15"/>
  <c r="AJ24" i="15"/>
  <c r="AJ23" i="15"/>
  <c r="AJ22" i="15"/>
  <c r="AJ21" i="15"/>
  <c r="AJ18" i="15"/>
  <c r="AJ17" i="15"/>
  <c r="AJ16" i="15"/>
  <c r="AJ15" i="15"/>
  <c r="AJ14" i="15"/>
  <c r="AJ11" i="15"/>
  <c r="AJ10" i="15"/>
  <c r="AJ9" i="15"/>
  <c r="AJ8" i="15"/>
  <c r="AJ7" i="15"/>
  <c r="AJ6" i="15"/>
  <c r="AJ5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J11" i="13"/>
  <c r="AJ10" i="13"/>
  <c r="AJ8" i="13"/>
  <c r="AJ7" i="13"/>
  <c r="AJ6" i="13"/>
  <c r="AJ5" i="13"/>
  <c r="AJ4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J32" i="15" l="1"/>
  <c r="AJ19" i="15"/>
  <c r="AJ28" i="15"/>
  <c r="AJ12" i="15"/>
  <c r="AJ14" i="18"/>
  <c r="AJ15" i="17"/>
  <c r="AJ9" i="13"/>
  <c r="BR14" i="6"/>
  <c r="BS14" i="6"/>
  <c r="BR11" i="6"/>
  <c r="BS11" i="6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E6" i="1"/>
  <c r="D6" i="1"/>
  <c r="C6" i="1"/>
  <c r="B6" i="1"/>
  <c r="F6" i="1"/>
  <c r="AJ13" i="1" l="1"/>
  <c r="AJ11" i="1"/>
  <c r="AJ10" i="1"/>
  <c r="AJ9" i="1"/>
  <c r="AJ7" i="1"/>
  <c r="AJ5" i="1"/>
  <c r="AJ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C14" i="1"/>
  <c r="B14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J6" i="1" l="1"/>
  <c r="AJ12" i="1"/>
  <c r="F14" i="1" l="1"/>
  <c r="AJ14" i="1"/>
  <c r="BK6" i="3"/>
  <c r="BK5" i="3"/>
  <c r="BK7" i="3"/>
  <c r="BK8" i="3"/>
  <c r="BK10" i="3"/>
  <c r="BK14" i="3"/>
  <c r="BK13" i="3"/>
  <c r="BK12" i="3"/>
  <c r="AJ101" i="10"/>
  <c r="V91" i="10"/>
  <c r="AJ91" i="10" s="1"/>
  <c r="AJ15" i="7"/>
  <c r="V14" i="7"/>
  <c r="AJ14" i="7" s="1"/>
  <c r="V22" i="7"/>
  <c r="AJ22" i="7" s="1"/>
  <c r="AJ21" i="7"/>
  <c r="V20" i="7"/>
  <c r="AJ20" i="7" s="1"/>
  <c r="V24" i="7" l="1"/>
  <c r="AJ24" i="7" s="1"/>
</calcChain>
</file>

<file path=xl/sharedStrings.xml><?xml version="1.0" encoding="utf-8"?>
<sst xmlns="http://schemas.openxmlformats.org/spreadsheetml/2006/main" count="2561" uniqueCount="306">
  <si>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</si>
  <si>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</si>
  <si>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</si>
  <si>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</si>
  <si>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</si>
  <si>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</si>
  <si>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</si>
  <si>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</si>
  <si>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</si>
  <si>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</si>
  <si>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</si>
  <si>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</si>
  <si>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</si>
  <si>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</si>
  <si>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</si>
  <si>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</si>
  <si>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</si>
  <si>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</si>
  <si>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</si>
  <si>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</si>
  <si>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</si>
  <si>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</si>
  <si>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</si>
  <si>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</si>
  <si>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</si>
  <si>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</si>
  <si>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Reliance Health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</si>
  <si>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</si>
  <si>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</si>
  <si>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</si>
  <si>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</si>
  <si>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</si>
  <si>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</si>
  <si>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</si>
  <si>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</si>
  <si>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</si>
  <si>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</si>
  <si>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</si>
  <si>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</si>
  <si>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</si>
  <si>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</si>
  <si>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</si>
  <si>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</si>
  <si>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</si>
  <si>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</si>
  <si>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</si>
  <si>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</si>
  <si>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</si>
  <si>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</si>
  <si>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NL-10 Reserves and Surplus as at 30 June 2019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</si>
  <si>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</si>
  <si>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</si>
  <si>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</si>
  <si>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</si>
  <si>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</si>
  <si>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</si>
  <si>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</si>
  <si>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</si>
  <si>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NL-13 Loans as at 30 June 2019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</si>
  <si>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</si>
  <si>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</si>
  <si>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</si>
  <si>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</si>
  <si>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</si>
  <si>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</si>
  <si>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</si>
  <si>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</si>
  <si>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</si>
  <si>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</si>
  <si>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</si>
  <si>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</si>
  <si>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</si>
  <si>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</si>
  <si>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</si>
  <si>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</si>
  <si>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</si>
  <si>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</si>
  <si>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</si>
  <si>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</si>
  <si>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</si>
  <si>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NL-14 Fixed Assets. Net Block as at 30 June 2019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</si>
  <si>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</si>
  <si>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</si>
  <si>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</si>
  <si>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</si>
  <si>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</si>
  <si>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</si>
  <si>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</si>
  <si>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</si>
  <si>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</si>
  <si>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</si>
  <si>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</si>
  <si>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</si>
  <si>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</si>
  <si>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</si>
  <si>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</si>
  <si>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NL-15 Cash and Bank Balance as at 30 June 2019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</si>
  <si>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</si>
  <si>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</si>
  <si>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</si>
  <si>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</si>
  <si>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</si>
  <si>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</si>
  <si>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</si>
  <si>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</si>
  <si>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</si>
  <si>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</si>
  <si>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</si>
  <si>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</si>
  <si>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</si>
  <si>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</si>
  <si>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</si>
  <si>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</si>
  <si>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</si>
  <si>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</si>
  <si>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</si>
  <si>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</si>
  <si>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</si>
  <si>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NL-17 Current Liabilities as at 30 June 2019</t>
  </si>
  <si>
    <t>in Rs. Lakhs</t>
  </si>
  <si>
    <t>Available Assets in Policyholders’ Funds</t>
  </si>
  <si>
    <t>Deduct: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</si>
  <si>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</si>
  <si>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</si>
  <si>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</si>
  <si>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</si>
  <si>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</si>
  <si>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</si>
  <si>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</si>
  <si>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</si>
  <si>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</si>
  <si>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</si>
  <si>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</si>
  <si>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NL-33 Solvency Margin KGII for the period ended 30 June 2019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</si>
  <si>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</si>
  <si>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</si>
  <si>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</si>
  <si>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</si>
  <si>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</si>
  <si>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</si>
  <si>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</si>
  <si>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</si>
  <si>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</si>
  <si>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</si>
  <si>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</si>
  <si>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</si>
  <si>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</si>
  <si>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</si>
  <si>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</si>
  <si>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</si>
  <si>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</si>
  <si>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</si>
  <si>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</si>
  <si>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</si>
  <si>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</si>
  <si>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</si>
  <si>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</si>
  <si>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</si>
  <si>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</si>
  <si>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</si>
  <si>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</si>
  <si>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</si>
  <si>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</si>
  <si>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</si>
  <si>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</si>
  <si>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</si>
  <si>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</si>
  <si>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</si>
  <si>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</si>
  <si>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</si>
  <si>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</si>
  <si>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</si>
  <si>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</si>
  <si>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</si>
  <si>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</si>
  <si>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</si>
  <si>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</si>
  <si>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</si>
  <si>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</si>
  <si>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</si>
  <si>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</si>
  <si>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</si>
  <si>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</si>
  <si>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</si>
  <si>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</si>
  <si>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</si>
  <si>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</si>
  <si>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</si>
  <si>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</si>
  <si>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</si>
  <si>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</si>
  <si>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</si>
  <si>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</si>
  <si>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</si>
  <si>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</si>
  <si>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</si>
  <si>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</si>
  <si>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</si>
  <si>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</si>
  <si>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</si>
  <si>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</si>
  <si>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</si>
  <si>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</si>
  <si>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</si>
  <si>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</si>
  <si>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</si>
  <si>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</si>
  <si>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</si>
  <si>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</si>
  <si>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</si>
  <si>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</si>
  <si>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</si>
  <si>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</si>
  <si>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</si>
  <si>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</si>
  <si>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</si>
  <si>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</si>
  <si>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</si>
  <si>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</si>
  <si>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NL-12 Investments as at 30 June 2019</t>
  </si>
  <si>
    <t>NL-25 Quarterly Claims Data (Q1)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</si>
  <si>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</si>
  <si>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</si>
  <si>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</si>
  <si>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</si>
  <si>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</si>
  <si>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</si>
  <si>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</si>
  <si>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</si>
  <si>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</si>
  <si>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</si>
  <si>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</si>
  <si>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</si>
  <si>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</si>
  <si>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</si>
  <si>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</si>
  <si>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</si>
  <si>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</si>
  <si>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</si>
  <si>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</si>
  <si>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</si>
  <si>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</si>
  <si>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</si>
  <si>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</si>
  <si>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</si>
  <si>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</si>
  <si>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</si>
  <si>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</si>
  <si>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</si>
  <si>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</si>
  <si>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</si>
  <si>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</si>
  <si>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</si>
  <si>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</si>
  <si>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</si>
  <si>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</si>
  <si>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</si>
  <si>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</si>
  <si>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</si>
  <si>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</si>
  <si>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</si>
  <si>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</si>
  <si>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</si>
  <si>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</si>
  <si>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</si>
  <si>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</si>
  <si>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</si>
  <si>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</si>
  <si>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</si>
  <si>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</si>
  <si>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</si>
  <si>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</si>
  <si>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</si>
  <si>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</si>
  <si>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</si>
  <si>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</si>
  <si>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NL-3 Balance Sheet as at 30 June 2019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</si>
  <si>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</si>
  <si>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</si>
  <si>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</si>
  <si>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</si>
  <si>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</si>
  <si>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</si>
  <si>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</si>
  <si>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</si>
  <si>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</si>
  <si>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</si>
  <si>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</si>
  <si>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</si>
  <si>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</si>
  <si>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</si>
  <si>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</si>
  <si>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</si>
  <si>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</si>
  <si>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NL-2 Profit and Loss Account upto the year ended 30 June 2019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</si>
  <si>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</si>
  <si>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</si>
  <si>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</si>
  <si>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</si>
  <si>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</si>
  <si>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</si>
  <si>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</si>
  <si>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</si>
  <si>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</si>
  <si>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</si>
  <si>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>Net Claims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</si>
</sst>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</cellStyleXfs>
  <cellXfs count="94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1" xfId="1" applyNumberFormat="1" applyFont="1" applyBorder="1"/>
    <xf numFmtId="2" fontId="2" fillId="0" borderId="0" xfId="0" applyNumberFormat="1" applyFont="1"/>
    <xf numFmtId="10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9" fontId="2" fillId="0" borderId="1" xfId="1" applyFont="1" applyBorder="1"/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</cellXfs>
  <cellStyles count="4">
    <cellStyle name="Comma 3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6" t="s">
        <v>47</v>
      </c>
    </row>
    <row r="2" spans="1:36" x14ac:dyDescent="0.25">
      <c r="A2" s="7" t="s">
        <v>48</v>
      </c>
    </row>
    <row r="3" spans="1:36" x14ac:dyDescent="0.25">
      <c r="A3" s="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2" t="s">
        <v>32</v>
      </c>
      <c r="AH3" s="2" t="s">
        <v>33</v>
      </c>
      <c r="AI3" s="22" t="s">
        <v>34</v>
      </c>
      <c r="AJ3" s="22" t="s">
        <v>35</v>
      </c>
    </row>
    <row r="4" spans="1:36" x14ac:dyDescent="0.25">
      <c r="A4" s="3" t="s">
        <v>36</v>
      </c>
      <c r="B4" s="11">
        <v>350922</v>
      </c>
      <c r="C4" s="11">
        <v>1028401</v>
      </c>
      <c r="D4" s="11">
        <v>1003688</v>
      </c>
      <c r="E4" s="11">
        <v>3230708</v>
      </c>
      <c r="F4" s="11">
        <v>19464231</v>
      </c>
      <c r="G4" s="11">
        <v>3894446</v>
      </c>
      <c r="H4" s="11">
        <f>47120+7887376+242347</f>
        <v>8176843</v>
      </c>
      <c r="I4" s="11">
        <v>1192436</v>
      </c>
      <c r="J4" s="11">
        <v>38934</v>
      </c>
      <c r="K4" s="11">
        <v>192806</v>
      </c>
      <c r="L4" s="11">
        <v>1690694</v>
      </c>
      <c r="M4" s="11">
        <v>4202995</v>
      </c>
      <c r="N4" s="11">
        <v>2384882</v>
      </c>
      <c r="O4" s="11">
        <v>9718771</v>
      </c>
      <c r="P4" s="11">
        <v>22448917</v>
      </c>
      <c r="Q4" s="11">
        <f>161631+124991+10032503</f>
        <v>10319125</v>
      </c>
      <c r="R4" s="11">
        <v>644844</v>
      </c>
      <c r="S4" s="11">
        <f>49000+5097+2508876</f>
        <v>2562973</v>
      </c>
      <c r="T4" s="11">
        <v>1644387</v>
      </c>
      <c r="U4" s="11">
        <v>1082866</v>
      </c>
      <c r="V4" s="11">
        <v>24783293</v>
      </c>
      <c r="W4" s="11">
        <f>812382+5189822+48058276</f>
        <v>54060480</v>
      </c>
      <c r="X4" s="11">
        <f>623420+2082361+22995590</f>
        <v>25701371</v>
      </c>
      <c r="Y4" s="11">
        <v>259255</v>
      </c>
      <c r="Z4" s="11">
        <f>13257+393421+8299835</f>
        <v>8706513</v>
      </c>
      <c r="AA4" s="11">
        <v>11486</v>
      </c>
      <c r="AB4" s="11">
        <v>2855483</v>
      </c>
      <c r="AC4" s="11">
        <f>56545+71298+5130387</f>
        <v>5258230</v>
      </c>
      <c r="AD4" s="11">
        <v>6492140</v>
      </c>
      <c r="AE4" s="11">
        <v>5462749</v>
      </c>
      <c r="AF4" s="11">
        <v>8147656</v>
      </c>
      <c r="AG4" s="11">
        <v>12420494</v>
      </c>
      <c r="AH4" s="39">
        <v>31545208</v>
      </c>
      <c r="AI4" s="11">
        <f>14905+118573+2273296</f>
        <v>2406774</v>
      </c>
      <c r="AJ4" s="12">
        <f>SUM(B4:AI4)</f>
        <v>283385001</v>
      </c>
    </row>
    <row r="5" spans="1:36" ht="30" x14ac:dyDescent="0.25">
      <c r="A5" s="3" t="s">
        <v>37</v>
      </c>
      <c r="B5" s="11">
        <v>9870</v>
      </c>
      <c r="C5" s="11">
        <v>9220</v>
      </c>
      <c r="D5" s="11"/>
      <c r="E5" s="11">
        <v>43343</v>
      </c>
      <c r="F5" s="11">
        <v>436472</v>
      </c>
      <c r="G5" s="11">
        <v>77294</v>
      </c>
      <c r="H5" s="11">
        <f>305+102204+4004</f>
        <v>106513</v>
      </c>
      <c r="I5" s="11">
        <v>3705</v>
      </c>
      <c r="J5" s="11">
        <v>3955</v>
      </c>
      <c r="K5" s="11">
        <v>9368</v>
      </c>
      <c r="L5" s="11">
        <f>229234-44178</f>
        <v>185056</v>
      </c>
      <c r="M5" s="11">
        <v>30950</v>
      </c>
      <c r="N5" s="11">
        <v>13435</v>
      </c>
      <c r="O5" s="11">
        <v>91113</v>
      </c>
      <c r="P5" s="11">
        <v>1050069</v>
      </c>
      <c r="Q5" s="11">
        <f>253+391+18989</f>
        <v>19633</v>
      </c>
      <c r="R5" s="11">
        <v>42446</v>
      </c>
      <c r="S5" s="11">
        <f>162+483+5471</f>
        <v>6116</v>
      </c>
      <c r="T5" s="11">
        <v>47100</v>
      </c>
      <c r="U5" s="11">
        <v>6016</v>
      </c>
      <c r="V5" s="11">
        <v>1132425</v>
      </c>
      <c r="W5" s="11">
        <f>73135+510319+3124692</f>
        <v>3708146</v>
      </c>
      <c r="X5" s="11">
        <f>73617+277215+3077846</f>
        <v>3428678</v>
      </c>
      <c r="Y5" s="11">
        <v>2676</v>
      </c>
      <c r="Z5" s="11">
        <f>834+10513+247352</f>
        <v>258699</v>
      </c>
      <c r="AA5" s="11">
        <v>1364</v>
      </c>
      <c r="AB5" s="11">
        <v>12937</v>
      </c>
      <c r="AC5" s="11">
        <f>416+2166+52659</f>
        <v>55241</v>
      </c>
      <c r="AD5" s="11">
        <v>64381</v>
      </c>
      <c r="AE5" s="11"/>
      <c r="AF5" s="11"/>
      <c r="AG5" s="11">
        <v>492806</v>
      </c>
      <c r="AH5" s="39">
        <v>2903286</v>
      </c>
      <c r="AI5" s="11">
        <f>49+1292+13246</f>
        <v>14587</v>
      </c>
      <c r="AJ5" s="12">
        <f t="shared" ref="AJ5:AJ7" si="0">SUM(B5:AI5)</f>
        <v>14266900</v>
      </c>
    </row>
    <row r="6" spans="1:36" x14ac:dyDescent="0.25">
      <c r="A6" s="3" t="s">
        <v>38</v>
      </c>
      <c r="B6" s="11">
        <f t="shared" ref="B6:E6" si="1">B8-B7-B5-B4</f>
        <v>0</v>
      </c>
      <c r="C6" s="11">
        <f t="shared" si="1"/>
        <v>-1382</v>
      </c>
      <c r="D6" s="11">
        <f t="shared" si="1"/>
        <v>34424</v>
      </c>
      <c r="E6" s="11">
        <f t="shared" si="1"/>
        <v>8910</v>
      </c>
      <c r="F6" s="11">
        <f>F8-F7-F5-F4</f>
        <v>38590</v>
      </c>
      <c r="G6" s="11">
        <f t="shared" ref="G6:AJ6" si="2">G8-G7-G5-G4</f>
        <v>1719</v>
      </c>
      <c r="H6" s="11">
        <f t="shared" si="2"/>
        <v>17899</v>
      </c>
      <c r="I6" s="11">
        <f t="shared" si="2"/>
        <v>459786</v>
      </c>
      <c r="J6" s="11">
        <f t="shared" si="2"/>
        <v>365549</v>
      </c>
      <c r="K6" s="11">
        <f t="shared" si="2"/>
        <v>188</v>
      </c>
      <c r="L6" s="11">
        <f t="shared" si="2"/>
        <v>2988.3599999998696</v>
      </c>
      <c r="M6" s="11">
        <f t="shared" si="2"/>
        <v>457</v>
      </c>
      <c r="N6" s="11">
        <f t="shared" si="2"/>
        <v>0</v>
      </c>
      <c r="O6" s="11">
        <f t="shared" si="2"/>
        <v>21048</v>
      </c>
      <c r="P6" s="11">
        <f t="shared" si="2"/>
        <v>94213</v>
      </c>
      <c r="Q6" s="11">
        <f t="shared" si="2"/>
        <v>1513</v>
      </c>
      <c r="R6" s="11">
        <f t="shared" si="2"/>
        <v>36</v>
      </c>
      <c r="S6" s="11">
        <f t="shared" si="2"/>
        <v>1</v>
      </c>
      <c r="T6" s="11">
        <f t="shared" si="2"/>
        <v>24183</v>
      </c>
      <c r="U6" s="11">
        <f t="shared" si="2"/>
        <v>314110</v>
      </c>
      <c r="V6" s="11">
        <f t="shared" si="2"/>
        <v>0</v>
      </c>
      <c r="W6" s="11">
        <f t="shared" si="2"/>
        <v>0</v>
      </c>
      <c r="X6" s="11">
        <f t="shared" si="2"/>
        <v>-85577</v>
      </c>
      <c r="Y6" s="11">
        <f t="shared" si="2"/>
        <v>101295</v>
      </c>
      <c r="Z6" s="11">
        <f t="shared" si="2"/>
        <v>920</v>
      </c>
      <c r="AA6" s="11">
        <f t="shared" si="2"/>
        <v>0</v>
      </c>
      <c r="AB6" s="11">
        <f t="shared" si="2"/>
        <v>0</v>
      </c>
      <c r="AC6" s="11">
        <f t="shared" si="2"/>
        <v>1743</v>
      </c>
      <c r="AD6" s="11">
        <f t="shared" si="2"/>
        <v>-101147</v>
      </c>
      <c r="AE6" s="11">
        <f t="shared" si="2"/>
        <v>6607</v>
      </c>
      <c r="AF6" s="11">
        <f t="shared" si="2"/>
        <v>0</v>
      </c>
      <c r="AG6" s="11">
        <f t="shared" si="2"/>
        <v>78941</v>
      </c>
      <c r="AH6" s="11">
        <f t="shared" si="2"/>
        <v>3903</v>
      </c>
      <c r="AI6" s="11">
        <f t="shared" si="2"/>
        <v>-4980</v>
      </c>
      <c r="AJ6" s="12">
        <f t="shared" si="2"/>
        <v>-334907152</v>
      </c>
    </row>
    <row r="7" spans="1:36" x14ac:dyDescent="0.25">
      <c r="A7" s="3" t="s">
        <v>39</v>
      </c>
      <c r="B7" s="11">
        <v>17662</v>
      </c>
      <c r="C7" s="11">
        <v>66312</v>
      </c>
      <c r="D7" s="11">
        <v>671266</v>
      </c>
      <c r="E7" s="11">
        <v>235870</v>
      </c>
      <c r="F7" s="11">
        <v>2485844</v>
      </c>
      <c r="G7" s="11">
        <v>622174</v>
      </c>
      <c r="H7" s="11">
        <f>3792+1270319+49707</f>
        <v>1323818</v>
      </c>
      <c r="I7" s="11">
        <v>67989</v>
      </c>
      <c r="J7" s="11">
        <v>30252</v>
      </c>
      <c r="K7" s="11">
        <v>5972</v>
      </c>
      <c r="L7" s="11">
        <v>1138941</v>
      </c>
      <c r="M7" s="11">
        <v>634906</v>
      </c>
      <c r="N7" s="11">
        <v>179824</v>
      </c>
      <c r="O7" s="11">
        <v>1440448</v>
      </c>
      <c r="P7" s="11">
        <v>3048278</v>
      </c>
      <c r="Q7" s="11">
        <f>15660+24203+1173995</f>
        <v>1213858</v>
      </c>
      <c r="R7" s="11">
        <v>64890</v>
      </c>
      <c r="S7" s="11">
        <f>7921+18388+268319</f>
        <v>294628</v>
      </c>
      <c r="T7" s="11">
        <v>271085</v>
      </c>
      <c r="U7" s="11">
        <v>100525</v>
      </c>
      <c r="V7" s="11">
        <v>3424672</v>
      </c>
      <c r="W7" s="11">
        <f>123446+861386+5274279</f>
        <v>6259111</v>
      </c>
      <c r="X7" s="11">
        <f>55686+209693+2328172</f>
        <v>2593551</v>
      </c>
      <c r="Y7" s="11">
        <v>42348</v>
      </c>
      <c r="Z7" s="11">
        <f>5124+64616+1520233</f>
        <v>1589973</v>
      </c>
      <c r="AA7" s="11">
        <v>1544</v>
      </c>
      <c r="AB7" s="11">
        <v>211053</v>
      </c>
      <c r="AC7" s="11">
        <f>4632+33393+634225</f>
        <v>672250</v>
      </c>
      <c r="AD7" s="11">
        <v>908949</v>
      </c>
      <c r="AE7" s="11">
        <v>1498299</v>
      </c>
      <c r="AF7" s="11">
        <v>380217</v>
      </c>
      <c r="AG7" s="11">
        <v>1460167</v>
      </c>
      <c r="AH7" s="39">
        <v>3930881</v>
      </c>
      <c r="AI7" s="11">
        <f>1235+32574+333885</f>
        <v>367694</v>
      </c>
      <c r="AJ7" s="12">
        <f t="shared" si="0"/>
        <v>37255251</v>
      </c>
    </row>
    <row r="8" spans="1:36" s="9" customFormat="1" x14ac:dyDescent="0.25">
      <c r="A8" s="4" t="s">
        <v>40</v>
      </c>
      <c r="B8" s="12">
        <v>378454</v>
      </c>
      <c r="C8" s="12">
        <v>1102551</v>
      </c>
      <c r="D8" s="12">
        <v>1709378</v>
      </c>
      <c r="E8" s="12">
        <v>3518831</v>
      </c>
      <c r="F8" s="12">
        <v>22425137</v>
      </c>
      <c r="G8" s="12">
        <v>4595633</v>
      </c>
      <c r="H8" s="12">
        <f>51399+9263703+309971</f>
        <v>9625073</v>
      </c>
      <c r="I8" s="12">
        <v>1723916</v>
      </c>
      <c r="J8" s="12">
        <v>438690</v>
      </c>
      <c r="K8" s="12">
        <v>208334</v>
      </c>
      <c r="L8" s="12">
        <v>3017679.36</v>
      </c>
      <c r="M8" s="12">
        <v>4869308</v>
      </c>
      <c r="N8" s="12">
        <v>2578141</v>
      </c>
      <c r="O8" s="12">
        <v>11271380</v>
      </c>
      <c r="P8" s="12">
        <v>26641477</v>
      </c>
      <c r="Q8" s="12">
        <f>177592+149953+11226584</f>
        <v>11554129</v>
      </c>
      <c r="R8" s="12">
        <v>752216</v>
      </c>
      <c r="S8" s="12">
        <f>57083+23968+2782667</f>
        <v>2863718</v>
      </c>
      <c r="T8" s="12">
        <v>1986755</v>
      </c>
      <c r="U8" s="12">
        <v>1503517</v>
      </c>
      <c r="V8" s="12">
        <v>29340390</v>
      </c>
      <c r="W8" s="12">
        <f>1008963+6561527+56457247</f>
        <v>64027737</v>
      </c>
      <c r="X8" s="12">
        <f>750959+2561480+28325584</f>
        <v>31638023</v>
      </c>
      <c r="Y8" s="12">
        <v>405574</v>
      </c>
      <c r="Z8" s="12">
        <f>10068340+468550+19215</f>
        <v>10556105</v>
      </c>
      <c r="AA8" s="12">
        <v>14394</v>
      </c>
      <c r="AB8" s="12">
        <v>3079473</v>
      </c>
      <c r="AC8" s="12">
        <f>61593+106857+5819014</f>
        <v>5987464</v>
      </c>
      <c r="AD8" s="12">
        <v>7364323</v>
      </c>
      <c r="AE8" s="12">
        <v>6967655</v>
      </c>
      <c r="AF8" s="12">
        <v>8527873</v>
      </c>
      <c r="AG8" s="12">
        <v>14452408</v>
      </c>
      <c r="AH8" s="12">
        <v>38383278</v>
      </c>
      <c r="AI8" s="12">
        <f>16161+154329+2613585</f>
        <v>2784075</v>
      </c>
      <c r="AJ8" s="12"/>
    </row>
    <row r="9" spans="1:36" x14ac:dyDescent="0.25">
      <c r="A9" s="3" t="s">
        <v>41</v>
      </c>
      <c r="B9" s="11">
        <v>305020</v>
      </c>
      <c r="C9" s="11">
        <v>675737</v>
      </c>
      <c r="D9" s="11">
        <v>-84022</v>
      </c>
      <c r="E9" s="11">
        <v>2974471</v>
      </c>
      <c r="F9" s="11">
        <v>14173261</v>
      </c>
      <c r="G9" s="11">
        <v>3029327</v>
      </c>
      <c r="H9" s="11">
        <f>42852+6344563+166259</f>
        <v>6553674</v>
      </c>
      <c r="I9" s="11">
        <v>726880</v>
      </c>
      <c r="J9" s="11">
        <v>51271</v>
      </c>
      <c r="K9" s="11">
        <v>247379</v>
      </c>
      <c r="L9" s="11">
        <v>1449559.66</v>
      </c>
      <c r="M9" s="11">
        <v>2653658</v>
      </c>
      <c r="N9" s="11">
        <v>1693234</v>
      </c>
      <c r="O9" s="11">
        <v>7348497</v>
      </c>
      <c r="P9" s="11">
        <v>16941094</v>
      </c>
      <c r="Q9" s="11">
        <f>90100+87903+9188113</f>
        <v>9366116</v>
      </c>
      <c r="R9" s="11">
        <v>451540</v>
      </c>
      <c r="S9" s="11">
        <f>57481+17940+1857948</f>
        <v>1933369</v>
      </c>
      <c r="T9" s="11">
        <v>1348578</v>
      </c>
      <c r="U9" s="11">
        <v>1102958</v>
      </c>
      <c r="V9" s="11">
        <v>20579582</v>
      </c>
      <c r="W9" s="11">
        <f>665089+4328405+45159937</f>
        <v>50153431</v>
      </c>
      <c r="X9" s="11">
        <f>828080+1223017+24844790</f>
        <v>26895887</v>
      </c>
      <c r="Y9" s="11">
        <v>235340</v>
      </c>
      <c r="Z9" s="11">
        <f>4448+218595+6653463</f>
        <v>6876506</v>
      </c>
      <c r="AA9" s="11">
        <v>4894</v>
      </c>
      <c r="AB9" s="11">
        <v>2029392</v>
      </c>
      <c r="AC9" s="11">
        <f>22967+81918+4614178</f>
        <v>4719063</v>
      </c>
      <c r="AD9" s="11">
        <v>5138825</v>
      </c>
      <c r="AE9" s="11">
        <v>3912801</v>
      </c>
      <c r="AF9" s="11">
        <v>6690907</v>
      </c>
      <c r="AG9" s="11">
        <v>10012364</v>
      </c>
      <c r="AH9" s="39">
        <v>34427033</v>
      </c>
      <c r="AI9" s="11">
        <f>10968+74889+1853561</f>
        <v>1939418</v>
      </c>
      <c r="AJ9" s="12">
        <f t="shared" ref="AJ9:AJ11" si="3">SUM(B9:AI9)</f>
        <v>246557044.66</v>
      </c>
    </row>
    <row r="10" spans="1:36" x14ac:dyDescent="0.25">
      <c r="A10" s="3" t="s">
        <v>42</v>
      </c>
      <c r="B10" s="11">
        <v>-27918</v>
      </c>
      <c r="C10" s="11">
        <v>158891</v>
      </c>
      <c r="D10" s="11">
        <v>-20439</v>
      </c>
      <c r="E10" s="11">
        <v>101256</v>
      </c>
      <c r="F10" s="11">
        <v>-503148</v>
      </c>
      <c r="G10" s="11">
        <v>315547</v>
      </c>
      <c r="H10" s="11">
        <f>-8458+271443+1044</f>
        <v>264029</v>
      </c>
      <c r="I10" s="11">
        <v>152142</v>
      </c>
      <c r="J10" s="11">
        <v>-376</v>
      </c>
      <c r="K10" s="11">
        <v>-45185</v>
      </c>
      <c r="L10" s="11">
        <v>-96926.77</v>
      </c>
      <c r="M10" s="11">
        <v>272039</v>
      </c>
      <c r="N10" s="11">
        <v>34616</v>
      </c>
      <c r="O10" s="11">
        <v>-214216</v>
      </c>
      <c r="P10" s="11">
        <v>547064</v>
      </c>
      <c r="Q10" s="11">
        <f>-1149-171515+1015496</f>
        <v>842832</v>
      </c>
      <c r="R10" s="11">
        <v>54984</v>
      </c>
      <c r="S10" s="11">
        <f>14328-12905+314132</f>
        <v>315555</v>
      </c>
      <c r="T10" s="11">
        <v>-112183</v>
      </c>
      <c r="U10" s="11">
        <v>-57058</v>
      </c>
      <c r="V10" s="11">
        <v>1863384</v>
      </c>
      <c r="W10" s="11">
        <f>172068+734864+4336752</f>
        <v>5243684</v>
      </c>
      <c r="X10" s="11">
        <f>62354+235142+1221362</f>
        <v>1518858</v>
      </c>
      <c r="Y10" s="11">
        <v>22461</v>
      </c>
      <c r="Z10" s="11">
        <f>-6205-105678+231338</f>
        <v>119455</v>
      </c>
      <c r="AA10" s="11">
        <v>-3238</v>
      </c>
      <c r="AB10" s="11">
        <v>-145526</v>
      </c>
      <c r="AC10" s="11">
        <f>2271+14852+251445</f>
        <v>268568</v>
      </c>
      <c r="AD10" s="11">
        <v>-467647</v>
      </c>
      <c r="AE10" s="11">
        <v>204794</v>
      </c>
      <c r="AF10" s="11">
        <v>733096</v>
      </c>
      <c r="AG10" s="11">
        <v>-908564</v>
      </c>
      <c r="AH10" s="39">
        <v>1599631</v>
      </c>
      <c r="AI10" s="11">
        <f>1015-17620+197120</f>
        <v>180515</v>
      </c>
      <c r="AJ10" s="12">
        <f t="shared" si="3"/>
        <v>12210976.23</v>
      </c>
    </row>
    <row r="11" spans="1:36" ht="30" x14ac:dyDescent="0.25">
      <c r="A11" s="3" t="s">
        <v>43</v>
      </c>
      <c r="B11" s="11">
        <v>607882</v>
      </c>
      <c r="C11" s="11">
        <v>914846</v>
      </c>
      <c r="D11" s="11">
        <v>472442</v>
      </c>
      <c r="E11" s="11">
        <v>1547663</v>
      </c>
      <c r="F11" s="11">
        <v>5708455</v>
      </c>
      <c r="G11" s="11">
        <v>1725507</v>
      </c>
      <c r="H11" s="11">
        <f>16863+2511493+53441</f>
        <v>2581797</v>
      </c>
      <c r="I11" s="11">
        <v>756875</v>
      </c>
      <c r="J11" s="11">
        <v>322366</v>
      </c>
      <c r="K11" s="11">
        <v>192514</v>
      </c>
      <c r="L11" s="11">
        <v>499308.36</v>
      </c>
      <c r="M11" s="11">
        <v>1824701</v>
      </c>
      <c r="N11" s="11">
        <v>1552143</v>
      </c>
      <c r="O11" s="11">
        <v>3273457</v>
      </c>
      <c r="P11" s="11">
        <v>5410002</v>
      </c>
      <c r="Q11" s="11">
        <f>27214+18482+1476337</f>
        <v>1522033</v>
      </c>
      <c r="R11" s="11">
        <v>304837</v>
      </c>
      <c r="S11" s="11">
        <f>11956+38762+876180</f>
        <v>926898</v>
      </c>
      <c r="T11" s="11">
        <v>815542</v>
      </c>
      <c r="U11" s="11">
        <v>933821</v>
      </c>
      <c r="V11" s="11">
        <v>6048026</v>
      </c>
      <c r="W11" s="11">
        <f>189172+1208029+8244017</f>
        <v>9641218</v>
      </c>
      <c r="X11" s="11">
        <f>129782+809189+4679107</f>
        <v>5618078</v>
      </c>
      <c r="Y11" s="11">
        <v>175801</v>
      </c>
      <c r="Z11" s="11">
        <f>15216+262782+2827652</f>
        <v>3105650</v>
      </c>
      <c r="AA11" s="11">
        <v>210715</v>
      </c>
      <c r="AB11" s="11">
        <v>1147168</v>
      </c>
      <c r="AC11" s="11">
        <f>15731+72779+940962</f>
        <v>1029472</v>
      </c>
      <c r="AD11" s="11">
        <v>1788560</v>
      </c>
      <c r="AE11" s="11">
        <v>863155</v>
      </c>
      <c r="AF11" s="11">
        <v>1990983</v>
      </c>
      <c r="AG11" s="11">
        <v>4372418</v>
      </c>
      <c r="AH11" s="39">
        <v>5475280</v>
      </c>
      <c r="AI11" s="11">
        <f>3803+29796+454690</f>
        <v>488289</v>
      </c>
      <c r="AJ11" s="12">
        <f t="shared" si="3"/>
        <v>73847902.359999999</v>
      </c>
    </row>
    <row r="12" spans="1:36" x14ac:dyDescent="0.25">
      <c r="A12" s="3" t="s">
        <v>46</v>
      </c>
      <c r="B12" s="11">
        <f>B13-B11-B10-B9</f>
        <v>16309</v>
      </c>
      <c r="C12" s="11">
        <f t="shared" ref="C12:AJ12" si="4">C13-C11-C10-C9</f>
        <v>0</v>
      </c>
      <c r="D12" s="11">
        <f t="shared" si="4"/>
        <v>16899</v>
      </c>
      <c r="E12" s="11">
        <f t="shared" si="4"/>
        <v>0</v>
      </c>
      <c r="F12" s="11">
        <f t="shared" si="4"/>
        <v>6928</v>
      </c>
      <c r="G12" s="11">
        <f t="shared" si="4"/>
        <v>85318</v>
      </c>
      <c r="H12" s="11">
        <f t="shared" si="4"/>
        <v>0</v>
      </c>
      <c r="I12" s="11">
        <f t="shared" si="4"/>
        <v>1</v>
      </c>
      <c r="J12" s="11">
        <f t="shared" si="4"/>
        <v>43283</v>
      </c>
      <c r="K12" s="11">
        <f t="shared" si="4"/>
        <v>-34356</v>
      </c>
      <c r="L12" s="11">
        <f t="shared" si="4"/>
        <v>-534738.41999999981</v>
      </c>
      <c r="M12" s="11">
        <f t="shared" si="4"/>
        <v>0</v>
      </c>
      <c r="N12" s="11">
        <f t="shared" si="4"/>
        <v>-10955</v>
      </c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233</v>
      </c>
      <c r="S12" s="11">
        <f t="shared" si="4"/>
        <v>0</v>
      </c>
      <c r="T12" s="11">
        <f t="shared" si="4"/>
        <v>-16</v>
      </c>
      <c r="U12" s="11">
        <f t="shared" si="4"/>
        <v>0</v>
      </c>
      <c r="V12" s="11">
        <f t="shared" si="4"/>
        <v>484707</v>
      </c>
      <c r="W12" s="11">
        <f t="shared" si="4"/>
        <v>106751</v>
      </c>
      <c r="X12" s="11">
        <f t="shared" si="4"/>
        <v>0</v>
      </c>
      <c r="Y12" s="11">
        <f t="shared" si="4"/>
        <v>31</v>
      </c>
      <c r="Z12" s="11">
        <f t="shared" si="4"/>
        <v>0</v>
      </c>
      <c r="AA12" s="11">
        <f t="shared" si="4"/>
        <v>-1417</v>
      </c>
      <c r="AB12" s="11">
        <f t="shared" si="4"/>
        <v>0</v>
      </c>
      <c r="AC12" s="11">
        <f t="shared" si="4"/>
        <v>0</v>
      </c>
      <c r="AD12" s="11">
        <f t="shared" si="4"/>
        <v>0</v>
      </c>
      <c r="AE12" s="11">
        <f t="shared" si="4"/>
        <v>0</v>
      </c>
      <c r="AF12" s="11">
        <f t="shared" si="4"/>
        <v>0</v>
      </c>
      <c r="AG12" s="11">
        <f t="shared" si="4"/>
        <v>0</v>
      </c>
      <c r="AH12" s="11">
        <f t="shared" si="4"/>
        <v>452291</v>
      </c>
      <c r="AI12" s="11">
        <f t="shared" si="4"/>
        <v>1736</v>
      </c>
      <c r="AJ12" s="12">
        <f t="shared" si="4"/>
        <v>633004.57999998331</v>
      </c>
    </row>
    <row r="13" spans="1:36" s="9" customFormat="1" x14ac:dyDescent="0.25">
      <c r="A13" s="4" t="s">
        <v>44</v>
      </c>
      <c r="B13" s="12">
        <v>901293</v>
      </c>
      <c r="C13" s="12">
        <v>1749474</v>
      </c>
      <c r="D13" s="12">
        <v>384880</v>
      </c>
      <c r="E13" s="12">
        <v>4623390</v>
      </c>
      <c r="F13" s="12">
        <v>19385496</v>
      </c>
      <c r="G13" s="12">
        <v>5155699</v>
      </c>
      <c r="H13" s="12">
        <f>51257+9127499+220744</f>
        <v>9399500</v>
      </c>
      <c r="I13" s="12">
        <v>1635898</v>
      </c>
      <c r="J13" s="12">
        <v>416544</v>
      </c>
      <c r="K13" s="12">
        <v>360352</v>
      </c>
      <c r="L13" s="12">
        <v>1317202.83</v>
      </c>
      <c r="M13" s="12">
        <v>4750398</v>
      </c>
      <c r="N13" s="12">
        <v>3269038</v>
      </c>
      <c r="O13" s="12">
        <v>10407738</v>
      </c>
      <c r="P13" s="12">
        <v>22898160</v>
      </c>
      <c r="Q13" s="12">
        <f>116165-65130+11679946</f>
        <v>11730981</v>
      </c>
      <c r="R13" s="12">
        <v>811594</v>
      </c>
      <c r="S13" s="12">
        <f>83765+43797+3048260</f>
        <v>3175822</v>
      </c>
      <c r="T13" s="12">
        <v>2051921</v>
      </c>
      <c r="U13" s="12">
        <v>1979721</v>
      </c>
      <c r="V13" s="12">
        <v>28975699</v>
      </c>
      <c r="W13" s="12">
        <f>1028434+6285989+57830661</f>
        <v>65145084</v>
      </c>
      <c r="X13" s="12">
        <f>1020216+2267348+30745259</f>
        <v>34032823</v>
      </c>
      <c r="Y13" s="12">
        <v>433633</v>
      </c>
      <c r="Z13" s="12">
        <f>13459+375699+9712453</f>
        <v>10101611</v>
      </c>
      <c r="AA13" s="12">
        <v>210954</v>
      </c>
      <c r="AB13" s="12">
        <v>3031034</v>
      </c>
      <c r="AC13" s="12">
        <f>40969+169549+5806585</f>
        <v>6017103</v>
      </c>
      <c r="AD13" s="12">
        <v>6459738</v>
      </c>
      <c r="AE13" s="12">
        <v>4980750</v>
      </c>
      <c r="AF13" s="12">
        <v>9414986</v>
      </c>
      <c r="AG13" s="12">
        <v>13476218</v>
      </c>
      <c r="AH13" s="12">
        <v>41954235</v>
      </c>
      <c r="AI13" s="12">
        <f>16786+87065+2506107</f>
        <v>2609958</v>
      </c>
      <c r="AJ13" s="12">
        <f>SUM(B13:AI13)</f>
        <v>333248927.82999998</v>
      </c>
    </row>
    <row r="14" spans="1:36" s="9" customFormat="1" x14ac:dyDescent="0.25">
      <c r="A14" s="4" t="s">
        <v>45</v>
      </c>
      <c r="B14" s="12">
        <f>B8-B13</f>
        <v>-522839</v>
      </c>
      <c r="C14" s="12">
        <f t="shared" ref="C14:AJ14" si="5">C8-C13</f>
        <v>-646923</v>
      </c>
      <c r="D14" s="12">
        <f t="shared" si="5"/>
        <v>1324498</v>
      </c>
      <c r="E14" s="12">
        <f t="shared" si="5"/>
        <v>-1104559</v>
      </c>
      <c r="F14" s="12">
        <f t="shared" si="5"/>
        <v>3039641</v>
      </c>
      <c r="G14" s="12">
        <f t="shared" si="5"/>
        <v>-560066</v>
      </c>
      <c r="H14" s="12">
        <f t="shared" si="5"/>
        <v>225573</v>
      </c>
      <c r="I14" s="12">
        <f t="shared" si="5"/>
        <v>88018</v>
      </c>
      <c r="J14" s="12">
        <f t="shared" si="5"/>
        <v>22146</v>
      </c>
      <c r="K14" s="12">
        <f t="shared" si="5"/>
        <v>-152018</v>
      </c>
      <c r="L14" s="12">
        <f t="shared" si="5"/>
        <v>1700476.5299999998</v>
      </c>
      <c r="M14" s="12">
        <f t="shared" si="5"/>
        <v>118910</v>
      </c>
      <c r="N14" s="12">
        <f t="shared" si="5"/>
        <v>-690897</v>
      </c>
      <c r="O14" s="12">
        <f t="shared" si="5"/>
        <v>863642</v>
      </c>
      <c r="P14" s="12">
        <f t="shared" si="5"/>
        <v>3743317</v>
      </c>
      <c r="Q14" s="12">
        <f t="shared" si="5"/>
        <v>-176852</v>
      </c>
      <c r="R14" s="12">
        <f t="shared" si="5"/>
        <v>-59378</v>
      </c>
      <c r="S14" s="12">
        <f t="shared" si="5"/>
        <v>-312104</v>
      </c>
      <c r="T14" s="12">
        <f t="shared" si="5"/>
        <v>-65166</v>
      </c>
      <c r="U14" s="12">
        <f t="shared" si="5"/>
        <v>-476204</v>
      </c>
      <c r="V14" s="12">
        <f t="shared" si="5"/>
        <v>364691</v>
      </c>
      <c r="W14" s="12">
        <f t="shared" si="5"/>
        <v>-1117347</v>
      </c>
      <c r="X14" s="12">
        <f t="shared" si="5"/>
        <v>-2394800</v>
      </c>
      <c r="Y14" s="12">
        <f t="shared" si="5"/>
        <v>-28059</v>
      </c>
      <c r="Z14" s="12">
        <f t="shared" si="5"/>
        <v>454494</v>
      </c>
      <c r="AA14" s="12">
        <f t="shared" si="5"/>
        <v>-196560</v>
      </c>
      <c r="AB14" s="12">
        <f t="shared" si="5"/>
        <v>48439</v>
      </c>
      <c r="AC14" s="12">
        <f t="shared" si="5"/>
        <v>-29639</v>
      </c>
      <c r="AD14" s="12">
        <f t="shared" si="5"/>
        <v>904585</v>
      </c>
      <c r="AE14" s="12">
        <f t="shared" si="5"/>
        <v>1986905</v>
      </c>
      <c r="AF14" s="12">
        <f t="shared" si="5"/>
        <v>-887113</v>
      </c>
      <c r="AG14" s="12">
        <f t="shared" si="5"/>
        <v>976190</v>
      </c>
      <c r="AH14" s="12">
        <f t="shared" si="5"/>
        <v>-3570957</v>
      </c>
      <c r="AI14" s="12">
        <f t="shared" si="5"/>
        <v>174117</v>
      </c>
      <c r="AJ14" s="12">
        <f t="shared" si="5"/>
        <v>-333248927.82999998</v>
      </c>
    </row>
  </sheetData>
  <pageMargins left="0.7" right="0.7" top="0.75" bottom="0.75" header="0.3" footer="0.3"/>
  <pageSetup paperSize="9" orientation="portrait" r:id="rId1"/>
  <ignoredErrors>
    <ignoredError sqref="AJ12 AJ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38.85546875" customWidth="1"/>
    <col min="2" max="35" width="16" customWidth="1"/>
    <col min="36" max="36" width="16" style="5" customWidth="1"/>
  </cols>
  <sheetData>
    <row r="1" spans="1:36" ht="18.75" x14ac:dyDescent="0.3">
      <c r="A1" s="14" t="s">
        <v>58</v>
      </c>
    </row>
    <row r="2" spans="1:36" x14ac:dyDescent="0.25">
      <c r="A2" s="13" t="s">
        <v>48</v>
      </c>
    </row>
    <row r="3" spans="1:36" x14ac:dyDescent="0.25">
      <c r="A3" s="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2" t="s">
        <v>32</v>
      </c>
      <c r="AH3" s="2" t="s">
        <v>33</v>
      </c>
      <c r="AI3" s="22" t="s">
        <v>34</v>
      </c>
      <c r="AJ3" s="22" t="s">
        <v>35</v>
      </c>
    </row>
    <row r="4" spans="1:36" x14ac:dyDescent="0.25">
      <c r="A4" s="15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0"/>
    </row>
    <row r="5" spans="1:36" x14ac:dyDescent="0.25">
      <c r="A5" s="16" t="s">
        <v>60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>
        <f t="shared" ref="AJ5:AJ32" si="0">SUM(B5:AI5)</f>
        <v>0</v>
      </c>
    </row>
    <row r="6" spans="1:36" x14ac:dyDescent="0.25">
      <c r="A6" s="16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0">
        <f t="shared" si="0"/>
        <v>0</v>
      </c>
    </row>
    <row r="7" spans="1:36" x14ac:dyDescent="0.25">
      <c r="A7" s="16" t="s">
        <v>62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11"/>
      <c r="U7" s="11"/>
      <c r="V7" s="11">
        <v>236043</v>
      </c>
      <c r="W7" s="11">
        <v>2339920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>
        <v>815178</v>
      </c>
      <c r="AI7" s="39"/>
      <c r="AJ7" s="40">
        <f t="shared" si="0"/>
        <v>3391141</v>
      </c>
    </row>
    <row r="8" spans="1:36" x14ac:dyDescent="0.25">
      <c r="A8" s="16" t="s">
        <v>63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11"/>
      <c r="U8" s="11"/>
      <c r="V8" s="11"/>
      <c r="W8" s="11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40">
        <f t="shared" si="0"/>
        <v>0</v>
      </c>
    </row>
    <row r="9" spans="1:36" x14ac:dyDescent="0.25">
      <c r="A9" s="16" t="s">
        <v>64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11"/>
      <c r="U9" s="11"/>
      <c r="V9" s="11"/>
      <c r="W9" s="11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0">
        <f t="shared" si="0"/>
        <v>0</v>
      </c>
    </row>
    <row r="10" spans="1:36" x14ac:dyDescent="0.25">
      <c r="A10" s="16" t="s">
        <v>65</v>
      </c>
      <c r="B10" s="39"/>
      <c r="C10" s="39"/>
      <c r="D10" s="39">
        <v>126336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11"/>
      <c r="U10" s="11"/>
      <c r="V10" s="11"/>
      <c r="W10" s="11">
        <v>594470</v>
      </c>
      <c r="X10" s="39">
        <f>320590+1052009</f>
        <v>1372599</v>
      </c>
      <c r="Y10" s="39"/>
      <c r="Z10" s="39"/>
      <c r="AA10" s="39"/>
      <c r="AB10" s="39"/>
      <c r="AC10" s="39"/>
      <c r="AD10" s="39"/>
      <c r="AE10" s="39"/>
      <c r="AF10" s="39"/>
      <c r="AG10" s="39"/>
      <c r="AH10" s="39">
        <v>576225</v>
      </c>
      <c r="AI10" s="39"/>
      <c r="AJ10" s="40">
        <f t="shared" si="0"/>
        <v>2669630</v>
      </c>
    </row>
    <row r="11" spans="1:36" x14ac:dyDescent="0.25">
      <c r="A11" s="16" t="s">
        <v>66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11">
        <v>59840</v>
      </c>
      <c r="U11" s="11"/>
      <c r="V11" s="11">
        <v>154044</v>
      </c>
      <c r="W11" s="11"/>
      <c r="X11" s="39">
        <v>64299</v>
      </c>
      <c r="Y11" s="39"/>
      <c r="Z11" s="39"/>
      <c r="AA11" s="39"/>
      <c r="AB11" s="39"/>
      <c r="AC11" s="39"/>
      <c r="AD11" s="39"/>
      <c r="AE11" s="39"/>
      <c r="AF11" s="39"/>
      <c r="AG11" s="39"/>
      <c r="AH11" s="39">
        <v>120886</v>
      </c>
      <c r="AI11" s="39"/>
      <c r="AJ11" s="40">
        <f t="shared" si="0"/>
        <v>399069</v>
      </c>
    </row>
    <row r="12" spans="1:36" s="5" customFormat="1" x14ac:dyDescent="0.25">
      <c r="A12" s="17" t="s">
        <v>57</v>
      </c>
      <c r="B12" s="40">
        <f>SUM(B5:B11)</f>
        <v>0</v>
      </c>
      <c r="C12" s="40">
        <f t="shared" ref="C12:AI12" si="1">SUM(C5:C11)</f>
        <v>0</v>
      </c>
      <c r="D12" s="40">
        <f t="shared" si="1"/>
        <v>126336</v>
      </c>
      <c r="E12" s="40">
        <f t="shared" si="1"/>
        <v>0</v>
      </c>
      <c r="F12" s="40">
        <f t="shared" si="1"/>
        <v>0</v>
      </c>
      <c r="G12" s="40">
        <f t="shared" si="1"/>
        <v>0</v>
      </c>
      <c r="H12" s="40">
        <f t="shared" si="1"/>
        <v>0</v>
      </c>
      <c r="I12" s="40">
        <f t="shared" si="1"/>
        <v>0</v>
      </c>
      <c r="J12" s="40">
        <f t="shared" si="1"/>
        <v>0</v>
      </c>
      <c r="K12" s="40">
        <f t="shared" si="1"/>
        <v>0</v>
      </c>
      <c r="L12" s="40">
        <f t="shared" si="1"/>
        <v>0</v>
      </c>
      <c r="M12" s="40">
        <f t="shared" si="1"/>
        <v>0</v>
      </c>
      <c r="N12" s="40">
        <f t="shared" si="1"/>
        <v>0</v>
      </c>
      <c r="O12" s="40">
        <f t="shared" si="1"/>
        <v>0</v>
      </c>
      <c r="P12" s="40">
        <f t="shared" si="1"/>
        <v>0</v>
      </c>
      <c r="Q12" s="40">
        <f t="shared" si="1"/>
        <v>0</v>
      </c>
      <c r="R12" s="40">
        <f t="shared" si="1"/>
        <v>0</v>
      </c>
      <c r="S12" s="40">
        <f t="shared" si="1"/>
        <v>0</v>
      </c>
      <c r="T12" s="40">
        <f t="shared" si="1"/>
        <v>59840</v>
      </c>
      <c r="U12" s="40">
        <f t="shared" si="1"/>
        <v>0</v>
      </c>
      <c r="V12" s="40">
        <f t="shared" si="1"/>
        <v>390087</v>
      </c>
      <c r="W12" s="40">
        <f t="shared" si="1"/>
        <v>2934390</v>
      </c>
      <c r="X12" s="40">
        <f t="shared" si="1"/>
        <v>1436898</v>
      </c>
      <c r="Y12" s="40">
        <f t="shared" si="1"/>
        <v>0</v>
      </c>
      <c r="Z12" s="40">
        <f t="shared" si="1"/>
        <v>0</v>
      </c>
      <c r="AA12" s="40">
        <f t="shared" si="1"/>
        <v>0</v>
      </c>
      <c r="AB12" s="40">
        <f t="shared" si="1"/>
        <v>0</v>
      </c>
      <c r="AC12" s="40">
        <f t="shared" si="1"/>
        <v>0</v>
      </c>
      <c r="AD12" s="40">
        <f t="shared" si="1"/>
        <v>0</v>
      </c>
      <c r="AE12" s="40">
        <f t="shared" si="1"/>
        <v>0</v>
      </c>
      <c r="AF12" s="40">
        <f t="shared" si="1"/>
        <v>0</v>
      </c>
      <c r="AG12" s="40">
        <f t="shared" si="1"/>
        <v>0</v>
      </c>
      <c r="AH12" s="40">
        <f t="shared" si="1"/>
        <v>1512289</v>
      </c>
      <c r="AI12" s="40">
        <f t="shared" si="1"/>
        <v>0</v>
      </c>
      <c r="AJ12" s="40">
        <f t="shared" si="0"/>
        <v>6459840</v>
      </c>
    </row>
    <row r="13" spans="1:36" x14ac:dyDescent="0.25">
      <c r="A13" s="15" t="s">
        <v>67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36" x14ac:dyDescent="0.25">
      <c r="A14" s="16" t="s">
        <v>68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1"/>
      <c r="U14" s="11"/>
      <c r="V14" s="11">
        <v>89814</v>
      </c>
      <c r="W14" s="11">
        <v>357671</v>
      </c>
      <c r="X14" s="39">
        <v>233908</v>
      </c>
      <c r="Y14" s="39"/>
      <c r="Z14" s="39"/>
      <c r="AA14" s="39"/>
      <c r="AB14" s="39"/>
      <c r="AC14" s="39"/>
      <c r="AD14" s="39"/>
      <c r="AE14" s="39"/>
      <c r="AF14" s="39"/>
      <c r="AG14" s="39"/>
      <c r="AH14" s="39">
        <v>576226</v>
      </c>
      <c r="AI14" s="39"/>
      <c r="AJ14" s="40">
        <f t="shared" si="0"/>
        <v>1257619</v>
      </c>
    </row>
    <row r="15" spans="1:36" x14ac:dyDescent="0.25">
      <c r="A15" s="16" t="s">
        <v>69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11"/>
      <c r="U15" s="11"/>
      <c r="V15" s="11"/>
      <c r="W15" s="11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>
        <f t="shared" si="0"/>
        <v>0</v>
      </c>
    </row>
    <row r="16" spans="1:36" x14ac:dyDescent="0.25">
      <c r="A16" s="16" t="s">
        <v>70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1"/>
      <c r="U16" s="11"/>
      <c r="V16" s="11"/>
      <c r="W16" s="11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0">
        <f t="shared" si="0"/>
        <v>0</v>
      </c>
    </row>
    <row r="17" spans="1:36" x14ac:dyDescent="0.25">
      <c r="A17" s="16" t="s">
        <v>71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11"/>
      <c r="U17" s="11"/>
      <c r="V17" s="11">
        <v>299634</v>
      </c>
      <c r="W17" s="11"/>
      <c r="X17" s="39">
        <v>150981</v>
      </c>
      <c r="Y17" s="39"/>
      <c r="Z17" s="39"/>
      <c r="AA17" s="39"/>
      <c r="AB17" s="39"/>
      <c r="AC17" s="39"/>
      <c r="AD17" s="39"/>
      <c r="AE17" s="39"/>
      <c r="AF17" s="39"/>
      <c r="AG17" s="39"/>
      <c r="AH17" s="39">
        <v>177663</v>
      </c>
      <c r="AI17" s="39"/>
      <c r="AJ17" s="40">
        <f t="shared" si="0"/>
        <v>628278</v>
      </c>
    </row>
    <row r="18" spans="1:36" x14ac:dyDescent="0.25">
      <c r="A18" s="16" t="s">
        <v>72</v>
      </c>
      <c r="B18" s="39"/>
      <c r="C18" s="39"/>
      <c r="D18" s="39">
        <v>126336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11">
        <v>59840</v>
      </c>
      <c r="U18" s="11"/>
      <c r="V18" s="11">
        <v>639</v>
      </c>
      <c r="W18" s="11">
        <v>2576719</v>
      </c>
      <c r="X18" s="39">
        <v>1052009</v>
      </c>
      <c r="Y18" s="39"/>
      <c r="Z18" s="39"/>
      <c r="AA18" s="39"/>
      <c r="AB18" s="39"/>
      <c r="AC18" s="39"/>
      <c r="AD18" s="39"/>
      <c r="AE18" s="39"/>
      <c r="AF18" s="39"/>
      <c r="AG18" s="39"/>
      <c r="AH18" s="39">
        <v>758400</v>
      </c>
      <c r="AI18" s="39"/>
      <c r="AJ18" s="40">
        <f t="shared" si="0"/>
        <v>4573943</v>
      </c>
    </row>
    <row r="19" spans="1:36" s="5" customFormat="1" x14ac:dyDescent="0.25">
      <c r="A19" s="17" t="s">
        <v>57</v>
      </c>
      <c r="B19" s="40">
        <f>SUM(B14:B18)</f>
        <v>0</v>
      </c>
      <c r="C19" s="40">
        <f t="shared" ref="C19:AI19" si="2">SUM(C14:C18)</f>
        <v>0</v>
      </c>
      <c r="D19" s="40">
        <f t="shared" si="2"/>
        <v>126336</v>
      </c>
      <c r="E19" s="40">
        <f t="shared" si="2"/>
        <v>0</v>
      </c>
      <c r="F19" s="40">
        <f t="shared" si="2"/>
        <v>0</v>
      </c>
      <c r="G19" s="40">
        <f t="shared" si="2"/>
        <v>0</v>
      </c>
      <c r="H19" s="40">
        <f t="shared" si="2"/>
        <v>0</v>
      </c>
      <c r="I19" s="40">
        <f t="shared" si="2"/>
        <v>0</v>
      </c>
      <c r="J19" s="40">
        <f t="shared" si="2"/>
        <v>0</v>
      </c>
      <c r="K19" s="40">
        <f t="shared" si="2"/>
        <v>0</v>
      </c>
      <c r="L19" s="40">
        <f t="shared" si="2"/>
        <v>0</v>
      </c>
      <c r="M19" s="40">
        <f t="shared" si="2"/>
        <v>0</v>
      </c>
      <c r="N19" s="40">
        <f t="shared" si="2"/>
        <v>0</v>
      </c>
      <c r="O19" s="40">
        <f t="shared" si="2"/>
        <v>0</v>
      </c>
      <c r="P19" s="40">
        <f t="shared" si="2"/>
        <v>0</v>
      </c>
      <c r="Q19" s="40">
        <f t="shared" si="2"/>
        <v>0</v>
      </c>
      <c r="R19" s="40">
        <f t="shared" si="2"/>
        <v>0</v>
      </c>
      <c r="S19" s="40">
        <f t="shared" si="2"/>
        <v>0</v>
      </c>
      <c r="T19" s="40">
        <f t="shared" si="2"/>
        <v>59840</v>
      </c>
      <c r="U19" s="40">
        <f t="shared" si="2"/>
        <v>0</v>
      </c>
      <c r="V19" s="40">
        <f t="shared" si="2"/>
        <v>390087</v>
      </c>
      <c r="W19" s="40">
        <f t="shared" si="2"/>
        <v>2934390</v>
      </c>
      <c r="X19" s="40">
        <f t="shared" si="2"/>
        <v>1436898</v>
      </c>
      <c r="Y19" s="40">
        <f t="shared" si="2"/>
        <v>0</v>
      </c>
      <c r="Z19" s="40">
        <f t="shared" si="2"/>
        <v>0</v>
      </c>
      <c r="AA19" s="40">
        <f t="shared" si="2"/>
        <v>0</v>
      </c>
      <c r="AB19" s="40">
        <f t="shared" si="2"/>
        <v>0</v>
      </c>
      <c r="AC19" s="40">
        <f t="shared" si="2"/>
        <v>0</v>
      </c>
      <c r="AD19" s="40">
        <f t="shared" si="2"/>
        <v>0</v>
      </c>
      <c r="AE19" s="40">
        <f t="shared" si="2"/>
        <v>0</v>
      </c>
      <c r="AF19" s="40">
        <f t="shared" si="2"/>
        <v>0</v>
      </c>
      <c r="AG19" s="40">
        <f t="shared" si="2"/>
        <v>0</v>
      </c>
      <c r="AH19" s="40">
        <f t="shared" si="2"/>
        <v>1512289</v>
      </c>
      <c r="AI19" s="40">
        <f t="shared" si="2"/>
        <v>0</v>
      </c>
      <c r="AJ19" s="40">
        <f t="shared" si="0"/>
        <v>6459840</v>
      </c>
    </row>
    <row r="20" spans="1:36" x14ac:dyDescent="0.25">
      <c r="A20" s="15" t="s">
        <v>73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0"/>
    </row>
    <row r="21" spans="1:36" x14ac:dyDescent="0.25">
      <c r="A21" s="16" t="s">
        <v>74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>
        <f t="shared" si="0"/>
        <v>0</v>
      </c>
    </row>
    <row r="22" spans="1:36" x14ac:dyDescent="0.25">
      <c r="A22" s="16" t="s">
        <v>62</v>
      </c>
      <c r="B22" s="39"/>
      <c r="C22" s="39"/>
      <c r="D22" s="39">
        <v>126336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11">
        <v>59840</v>
      </c>
      <c r="U22" s="11"/>
      <c r="V22" s="11">
        <v>99300</v>
      </c>
      <c r="W22" s="11">
        <v>2934390</v>
      </c>
      <c r="X22" s="39">
        <v>1294338</v>
      </c>
      <c r="Y22" s="39"/>
      <c r="Z22" s="39"/>
      <c r="AA22" s="39"/>
      <c r="AB22" s="39"/>
      <c r="AC22" s="39"/>
      <c r="AD22" s="39"/>
      <c r="AE22" s="39"/>
      <c r="AF22" s="39"/>
      <c r="AG22" s="39"/>
      <c r="AH22" s="39">
        <v>1334074</v>
      </c>
      <c r="AI22" s="39"/>
      <c r="AJ22" s="40">
        <f t="shared" si="0"/>
        <v>5848278</v>
      </c>
    </row>
    <row r="23" spans="1:36" x14ac:dyDescent="0.25">
      <c r="A23" s="16" t="s">
        <v>63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40">
        <f t="shared" si="0"/>
        <v>0</v>
      </c>
    </row>
    <row r="24" spans="1:36" x14ac:dyDescent="0.25">
      <c r="A24" s="16" t="s">
        <v>75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40">
        <f t="shared" si="0"/>
        <v>0</v>
      </c>
    </row>
    <row r="25" spans="1:36" x14ac:dyDescent="0.25">
      <c r="A25" s="16" t="s">
        <v>62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>
        <v>290787</v>
      </c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>
        <v>178215</v>
      </c>
      <c r="AI25" s="39"/>
      <c r="AJ25" s="40">
        <f t="shared" si="0"/>
        <v>469002</v>
      </c>
    </row>
    <row r="26" spans="1:36" x14ac:dyDescent="0.25">
      <c r="A26" s="16" t="s">
        <v>63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40">
        <f t="shared" si="0"/>
        <v>0</v>
      </c>
    </row>
    <row r="27" spans="1:36" x14ac:dyDescent="0.25">
      <c r="A27" s="16" t="s">
        <v>76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>
        <v>142560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40">
        <f t="shared" si="0"/>
        <v>142560</v>
      </c>
    </row>
    <row r="28" spans="1:36" s="5" customFormat="1" x14ac:dyDescent="0.25">
      <c r="A28" s="17" t="s">
        <v>57</v>
      </c>
      <c r="B28" s="40">
        <f>SUM(B21:B27)</f>
        <v>0</v>
      </c>
      <c r="C28" s="40">
        <f t="shared" ref="C28:AI28" si="3">SUM(C21:C27)</f>
        <v>0</v>
      </c>
      <c r="D28" s="40">
        <f t="shared" si="3"/>
        <v>126336</v>
      </c>
      <c r="E28" s="40">
        <f t="shared" si="3"/>
        <v>0</v>
      </c>
      <c r="F28" s="40">
        <f t="shared" si="3"/>
        <v>0</v>
      </c>
      <c r="G28" s="40">
        <f t="shared" si="3"/>
        <v>0</v>
      </c>
      <c r="H28" s="40">
        <f t="shared" si="3"/>
        <v>0</v>
      </c>
      <c r="I28" s="40">
        <f t="shared" si="3"/>
        <v>0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0">
        <f t="shared" si="3"/>
        <v>0</v>
      </c>
      <c r="P28" s="40">
        <f t="shared" si="3"/>
        <v>0</v>
      </c>
      <c r="Q28" s="40">
        <f t="shared" si="3"/>
        <v>0</v>
      </c>
      <c r="R28" s="40">
        <f t="shared" si="3"/>
        <v>0</v>
      </c>
      <c r="S28" s="40">
        <f t="shared" si="3"/>
        <v>0</v>
      </c>
      <c r="T28" s="40">
        <f t="shared" si="3"/>
        <v>59840</v>
      </c>
      <c r="U28" s="40">
        <f t="shared" si="3"/>
        <v>0</v>
      </c>
      <c r="V28" s="40">
        <f t="shared" si="3"/>
        <v>390087</v>
      </c>
      <c r="W28" s="40">
        <f t="shared" si="3"/>
        <v>2934390</v>
      </c>
      <c r="X28" s="40">
        <f t="shared" si="3"/>
        <v>1436898</v>
      </c>
      <c r="Y28" s="40">
        <f t="shared" si="3"/>
        <v>0</v>
      </c>
      <c r="Z28" s="40">
        <f t="shared" si="3"/>
        <v>0</v>
      </c>
      <c r="AA28" s="40">
        <f t="shared" si="3"/>
        <v>0</v>
      </c>
      <c r="AB28" s="40">
        <f t="shared" si="3"/>
        <v>0</v>
      </c>
      <c r="AC28" s="40">
        <f t="shared" si="3"/>
        <v>0</v>
      </c>
      <c r="AD28" s="40">
        <f t="shared" si="3"/>
        <v>0</v>
      </c>
      <c r="AE28" s="40">
        <f t="shared" si="3"/>
        <v>0</v>
      </c>
      <c r="AF28" s="40">
        <f t="shared" si="3"/>
        <v>0</v>
      </c>
      <c r="AG28" s="40">
        <f t="shared" si="3"/>
        <v>0</v>
      </c>
      <c r="AH28" s="40">
        <f t="shared" si="3"/>
        <v>1512289</v>
      </c>
      <c r="AI28" s="40">
        <f t="shared" si="3"/>
        <v>0</v>
      </c>
      <c r="AJ28" s="40">
        <f t="shared" si="0"/>
        <v>6459840</v>
      </c>
    </row>
    <row r="29" spans="1:36" x14ac:dyDescent="0.25">
      <c r="A29" s="15" t="s">
        <v>77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x14ac:dyDescent="0.25">
      <c r="A30" s="16" t="s">
        <v>78</v>
      </c>
      <c r="B30" s="39"/>
      <c r="C30" s="39"/>
      <c r="D30" s="39">
        <v>10113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1"/>
      <c r="U30" s="11"/>
      <c r="V30" s="11">
        <v>626</v>
      </c>
      <c r="W30" s="11">
        <v>72489</v>
      </c>
      <c r="X30" s="39">
        <v>48920</v>
      </c>
      <c r="Y30" s="39"/>
      <c r="Z30" s="39"/>
      <c r="AA30" s="39"/>
      <c r="AB30" s="39"/>
      <c r="AC30" s="39"/>
      <c r="AD30" s="39"/>
      <c r="AE30" s="39"/>
      <c r="AF30" s="39"/>
      <c r="AG30" s="39"/>
      <c r="AH30" s="39">
        <v>98773</v>
      </c>
      <c r="AI30" s="39"/>
      <c r="AJ30" s="40">
        <f t="shared" si="0"/>
        <v>230921</v>
      </c>
    </row>
    <row r="31" spans="1:36" x14ac:dyDescent="0.25">
      <c r="A31" s="16" t="s">
        <v>79</v>
      </c>
      <c r="B31" s="39"/>
      <c r="C31" s="39"/>
      <c r="D31" s="39">
        <v>116224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11">
        <v>59840</v>
      </c>
      <c r="U31" s="11"/>
      <c r="V31" s="11">
        <v>389461</v>
      </c>
      <c r="W31" s="11">
        <v>2861901</v>
      </c>
      <c r="X31" s="39">
        <v>1387978</v>
      </c>
      <c r="Y31" s="39"/>
      <c r="Z31" s="39"/>
      <c r="AA31" s="39"/>
      <c r="AB31" s="39"/>
      <c r="AC31" s="39"/>
      <c r="AD31" s="39"/>
      <c r="AE31" s="39"/>
      <c r="AF31" s="39"/>
      <c r="AG31" s="39"/>
      <c r="AH31" s="39">
        <v>1413516</v>
      </c>
      <c r="AI31" s="39"/>
      <c r="AJ31" s="40">
        <f t="shared" si="0"/>
        <v>6228920</v>
      </c>
    </row>
    <row r="32" spans="1:36" s="5" customFormat="1" x14ac:dyDescent="0.25">
      <c r="A32" s="17" t="s">
        <v>57</v>
      </c>
      <c r="B32" s="40">
        <f>SUM(B30:B31)</f>
        <v>0</v>
      </c>
      <c r="C32" s="40">
        <f t="shared" ref="C32:AI32" si="4">SUM(C30:C31)</f>
        <v>0</v>
      </c>
      <c r="D32" s="40">
        <f t="shared" si="4"/>
        <v>126337</v>
      </c>
      <c r="E32" s="40">
        <f t="shared" si="4"/>
        <v>0</v>
      </c>
      <c r="F32" s="40">
        <f t="shared" si="4"/>
        <v>0</v>
      </c>
      <c r="G32" s="40">
        <f t="shared" si="4"/>
        <v>0</v>
      </c>
      <c r="H32" s="40">
        <f t="shared" si="4"/>
        <v>0</v>
      </c>
      <c r="I32" s="40">
        <f t="shared" si="4"/>
        <v>0</v>
      </c>
      <c r="J32" s="40">
        <f t="shared" si="4"/>
        <v>0</v>
      </c>
      <c r="K32" s="40">
        <f t="shared" si="4"/>
        <v>0</v>
      </c>
      <c r="L32" s="40">
        <f t="shared" si="4"/>
        <v>0</v>
      </c>
      <c r="M32" s="40">
        <f t="shared" si="4"/>
        <v>0</v>
      </c>
      <c r="N32" s="40">
        <f t="shared" si="4"/>
        <v>0</v>
      </c>
      <c r="O32" s="40">
        <f t="shared" si="4"/>
        <v>0</v>
      </c>
      <c r="P32" s="40">
        <f t="shared" si="4"/>
        <v>0</v>
      </c>
      <c r="Q32" s="40">
        <f t="shared" si="4"/>
        <v>0</v>
      </c>
      <c r="R32" s="40">
        <f t="shared" si="4"/>
        <v>0</v>
      </c>
      <c r="S32" s="40">
        <f t="shared" si="4"/>
        <v>0</v>
      </c>
      <c r="T32" s="40">
        <f t="shared" si="4"/>
        <v>59840</v>
      </c>
      <c r="U32" s="40">
        <f t="shared" si="4"/>
        <v>0</v>
      </c>
      <c r="V32" s="40">
        <f t="shared" si="4"/>
        <v>390087</v>
      </c>
      <c r="W32" s="40">
        <f t="shared" si="4"/>
        <v>2934390</v>
      </c>
      <c r="X32" s="40">
        <f t="shared" si="4"/>
        <v>1436898</v>
      </c>
      <c r="Y32" s="40">
        <f t="shared" si="4"/>
        <v>0</v>
      </c>
      <c r="Z32" s="40">
        <f t="shared" si="4"/>
        <v>0</v>
      </c>
      <c r="AA32" s="40">
        <f t="shared" si="4"/>
        <v>0</v>
      </c>
      <c r="AB32" s="40">
        <f t="shared" si="4"/>
        <v>0</v>
      </c>
      <c r="AC32" s="40">
        <f t="shared" si="4"/>
        <v>0</v>
      </c>
      <c r="AD32" s="40">
        <f t="shared" si="4"/>
        <v>0</v>
      </c>
      <c r="AE32" s="40">
        <f t="shared" si="4"/>
        <v>0</v>
      </c>
      <c r="AF32" s="40">
        <f t="shared" si="4"/>
        <v>0</v>
      </c>
      <c r="AG32" s="40">
        <f t="shared" si="4"/>
        <v>0</v>
      </c>
      <c r="AH32" s="40">
        <f t="shared" si="4"/>
        <v>1512289</v>
      </c>
      <c r="AI32" s="40">
        <f t="shared" si="4"/>
        <v>0</v>
      </c>
      <c r="AJ32" s="40">
        <f t="shared" si="0"/>
        <v>6459841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80</v>
      </c>
    </row>
    <row r="2" spans="1:36" x14ac:dyDescent="0.25">
      <c r="A2" s="7" t="s">
        <v>48</v>
      </c>
    </row>
    <row r="3" spans="1:36" x14ac:dyDescent="0.25">
      <c r="A3" s="1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9</v>
      </c>
      <c r="K3" s="50" t="s">
        <v>10</v>
      </c>
      <c r="L3" s="50" t="s">
        <v>11</v>
      </c>
      <c r="M3" s="50" t="s">
        <v>12</v>
      </c>
      <c r="N3" s="50" t="s">
        <v>13</v>
      </c>
      <c r="O3" s="50" t="s">
        <v>14</v>
      </c>
      <c r="P3" s="50" t="s">
        <v>15</v>
      </c>
      <c r="Q3" s="50" t="s">
        <v>16</v>
      </c>
      <c r="R3" s="50" t="s">
        <v>17</v>
      </c>
      <c r="S3" s="50" t="s">
        <v>18</v>
      </c>
      <c r="T3" s="50" t="s">
        <v>19</v>
      </c>
      <c r="U3" s="50" t="s">
        <v>20</v>
      </c>
      <c r="V3" s="50" t="s">
        <v>21</v>
      </c>
      <c r="W3" s="50" t="s">
        <v>22</v>
      </c>
      <c r="X3" s="50" t="s">
        <v>23</v>
      </c>
      <c r="Y3" s="50" t="s">
        <v>24</v>
      </c>
      <c r="Z3" s="50" t="s">
        <v>25</v>
      </c>
      <c r="AA3" s="50" t="s">
        <v>26</v>
      </c>
      <c r="AB3" s="50" t="s">
        <v>27</v>
      </c>
      <c r="AC3" s="50" t="s">
        <v>28</v>
      </c>
      <c r="AD3" s="50" t="s">
        <v>29</v>
      </c>
      <c r="AE3" s="50" t="s">
        <v>30</v>
      </c>
      <c r="AF3" s="50" t="s">
        <v>31</v>
      </c>
      <c r="AG3" s="50" t="s">
        <v>32</v>
      </c>
      <c r="AH3" s="51" t="s">
        <v>33</v>
      </c>
      <c r="AI3" s="50" t="s">
        <v>34</v>
      </c>
      <c r="AJ3" s="50" t="s">
        <v>35</v>
      </c>
    </row>
    <row r="4" spans="1:36" x14ac:dyDescent="0.25">
      <c r="A4" s="3" t="s">
        <v>81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>
        <f>SUM(B4:AI4)</f>
        <v>0</v>
      </c>
    </row>
    <row r="5" spans="1:36" x14ac:dyDescent="0.25">
      <c r="A5" s="3" t="s">
        <v>82</v>
      </c>
      <c r="B5" s="11">
        <v>3242</v>
      </c>
      <c r="C5" s="11">
        <v>404944</v>
      </c>
      <c r="D5" s="11">
        <v>940063</v>
      </c>
      <c r="E5" s="11">
        <v>168595</v>
      </c>
      <c r="F5" s="11">
        <v>192298</v>
      </c>
      <c r="G5" s="11">
        <v>44055</v>
      </c>
      <c r="H5" s="11">
        <v>162044</v>
      </c>
      <c r="I5" s="11">
        <v>15384</v>
      </c>
      <c r="J5" s="11">
        <v>322402</v>
      </c>
      <c r="K5" s="11">
        <v>79728</v>
      </c>
      <c r="L5" s="11">
        <v>15816.59</v>
      </c>
      <c r="M5" s="11">
        <v>42106</v>
      </c>
      <c r="N5" s="11">
        <v>18000</v>
      </c>
      <c r="O5" s="11">
        <v>322664</v>
      </c>
      <c r="P5" s="11">
        <v>612176</v>
      </c>
      <c r="Q5" s="11">
        <v>134514</v>
      </c>
      <c r="R5" s="11">
        <v>21789</v>
      </c>
      <c r="S5" s="11">
        <v>120001</v>
      </c>
      <c r="T5" s="11">
        <v>193327</v>
      </c>
      <c r="U5" s="11">
        <v>211396</v>
      </c>
      <c r="V5" s="11">
        <v>142228</v>
      </c>
      <c r="W5" s="11">
        <v>630339</v>
      </c>
      <c r="X5" s="11">
        <v>149556</v>
      </c>
      <c r="Y5" s="11">
        <v>11460</v>
      </c>
      <c r="Z5" s="11">
        <v>128450</v>
      </c>
      <c r="AA5" s="11">
        <v>394769</v>
      </c>
      <c r="AB5" s="11">
        <v>338475</v>
      </c>
      <c r="AC5" s="11">
        <v>87638</v>
      </c>
      <c r="AD5" s="11">
        <v>296070</v>
      </c>
      <c r="AE5" s="11">
        <v>25378</v>
      </c>
      <c r="AF5" s="11">
        <v>371835</v>
      </c>
      <c r="AG5" s="11">
        <v>496288</v>
      </c>
      <c r="AH5" s="11">
        <v>42278</v>
      </c>
      <c r="AI5" s="11">
        <v>21871</v>
      </c>
      <c r="AJ5" s="12">
        <f t="shared" ref="AJ5:AJ19" si="0">SUM(B5:AI5)</f>
        <v>7161179.5899999999</v>
      </c>
    </row>
    <row r="6" spans="1:36" x14ac:dyDescent="0.25">
      <c r="A6" s="3" t="s">
        <v>83</v>
      </c>
      <c r="B6" s="11"/>
      <c r="C6" s="11"/>
      <c r="D6" s="11"/>
      <c r="E6" s="11"/>
      <c r="F6" s="11">
        <v>753314</v>
      </c>
      <c r="G6" s="11"/>
      <c r="H6" s="11">
        <v>58032</v>
      </c>
      <c r="I6" s="11"/>
      <c r="J6" s="11"/>
      <c r="K6" s="11"/>
      <c r="L6" s="11">
        <v>748152.33</v>
      </c>
      <c r="M6" s="11"/>
      <c r="N6" s="11"/>
      <c r="O6" s="11"/>
      <c r="P6" s="11">
        <v>2411770</v>
      </c>
      <c r="Q6" s="11">
        <v>37849</v>
      </c>
      <c r="R6" s="11"/>
      <c r="S6" s="11"/>
      <c r="T6" s="11"/>
      <c r="U6" s="11"/>
      <c r="V6" s="11">
        <v>6452</v>
      </c>
      <c r="W6" s="11">
        <v>137068</v>
      </c>
      <c r="X6" s="11">
        <v>58675</v>
      </c>
      <c r="Y6" s="11"/>
      <c r="Z6" s="11"/>
      <c r="AA6" s="11"/>
      <c r="AB6" s="11"/>
      <c r="AC6" s="11"/>
      <c r="AD6" s="11"/>
      <c r="AE6" s="11"/>
      <c r="AF6" s="11"/>
      <c r="AG6" s="11"/>
      <c r="AH6" s="11">
        <v>125859</v>
      </c>
      <c r="AI6" s="11"/>
      <c r="AJ6" s="12">
        <f t="shared" si="0"/>
        <v>4337171.33</v>
      </c>
    </row>
    <row r="7" spans="1:36" x14ac:dyDescent="0.25">
      <c r="A7" s="3" t="s">
        <v>84</v>
      </c>
      <c r="B7" s="11">
        <v>1645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>
        <v>294938</v>
      </c>
      <c r="W7" s="11">
        <v>289924</v>
      </c>
      <c r="X7" s="11"/>
      <c r="Y7" s="11"/>
      <c r="Z7" s="11"/>
      <c r="AA7" s="11"/>
      <c r="AB7" s="11"/>
      <c r="AC7" s="11"/>
      <c r="AD7" s="11"/>
      <c r="AE7" s="11">
        <v>213709</v>
      </c>
      <c r="AF7" s="11"/>
      <c r="AG7" s="11"/>
      <c r="AH7" s="11">
        <v>28132</v>
      </c>
      <c r="AI7" s="11"/>
      <c r="AJ7" s="12">
        <f t="shared" si="0"/>
        <v>828348</v>
      </c>
    </row>
    <row r="8" spans="1:36" x14ac:dyDescent="0.25">
      <c r="A8" s="3" t="s">
        <v>85</v>
      </c>
      <c r="B8" s="11"/>
      <c r="C8" s="11"/>
      <c r="D8" s="11">
        <v>888617</v>
      </c>
      <c r="E8" s="11"/>
      <c r="F8" s="11">
        <v>57761</v>
      </c>
      <c r="G8" s="11">
        <v>20263</v>
      </c>
      <c r="H8" s="11"/>
      <c r="I8" s="11">
        <v>6740</v>
      </c>
      <c r="J8" s="11">
        <v>38257</v>
      </c>
      <c r="K8" s="11"/>
      <c r="L8" s="11">
        <v>54272.959999999999</v>
      </c>
      <c r="M8" s="11"/>
      <c r="N8" s="11">
        <v>18777</v>
      </c>
      <c r="O8" s="11">
        <v>13169</v>
      </c>
      <c r="P8" s="11"/>
      <c r="Q8" s="11"/>
      <c r="R8" s="11">
        <v>1990</v>
      </c>
      <c r="S8" s="11"/>
      <c r="T8" s="11">
        <v>19419</v>
      </c>
      <c r="U8" s="11">
        <v>10902</v>
      </c>
      <c r="V8" s="11"/>
      <c r="W8" s="11"/>
      <c r="X8" s="11"/>
      <c r="Y8" s="11">
        <v>319</v>
      </c>
      <c r="Z8" s="11">
        <v>19601</v>
      </c>
      <c r="AA8" s="11"/>
      <c r="AB8" s="11">
        <v>11424</v>
      </c>
      <c r="AC8" s="11">
        <v>68165</v>
      </c>
      <c r="AD8" s="11">
        <v>110560</v>
      </c>
      <c r="AE8" s="11">
        <v>15934</v>
      </c>
      <c r="AF8" s="11">
        <v>11600</v>
      </c>
      <c r="AG8" s="11">
        <v>82377</v>
      </c>
      <c r="AH8" s="11">
        <v>44703</v>
      </c>
      <c r="AI8" s="11">
        <v>1290</v>
      </c>
      <c r="AJ8" s="12">
        <f t="shared" si="0"/>
        <v>1496140.96</v>
      </c>
    </row>
    <row r="9" spans="1:36" x14ac:dyDescent="0.25">
      <c r="A9" s="3" t="s">
        <v>86</v>
      </c>
      <c r="B9" s="11"/>
      <c r="C9" s="11"/>
      <c r="D9" s="11">
        <v>292873</v>
      </c>
      <c r="E9" s="11"/>
      <c r="F9" s="11">
        <v>2292352</v>
      </c>
      <c r="G9" s="11"/>
      <c r="H9" s="11">
        <v>320104</v>
      </c>
      <c r="I9" s="11"/>
      <c r="J9" s="11"/>
      <c r="K9" s="11"/>
      <c r="L9" s="11">
        <v>289700.46000000002</v>
      </c>
      <c r="M9" s="11"/>
      <c r="N9" s="11"/>
      <c r="O9" s="11">
        <v>1148343</v>
      </c>
      <c r="P9" s="11">
        <v>407837</v>
      </c>
      <c r="Q9" s="11">
        <v>10389</v>
      </c>
      <c r="R9" s="11"/>
      <c r="S9" s="11"/>
      <c r="T9" s="11"/>
      <c r="U9" s="11"/>
      <c r="V9" s="11">
        <v>819177</v>
      </c>
      <c r="W9" s="11">
        <v>1085059</v>
      </c>
      <c r="X9" s="11">
        <v>563755</v>
      </c>
      <c r="Y9" s="11"/>
      <c r="Z9" s="11"/>
      <c r="AA9" s="11"/>
      <c r="AB9" s="11"/>
      <c r="AC9" s="11"/>
      <c r="AD9" s="11"/>
      <c r="AE9" s="11">
        <v>148061</v>
      </c>
      <c r="AF9" s="11">
        <v>14767</v>
      </c>
      <c r="AG9" s="11">
        <v>784166</v>
      </c>
      <c r="AH9" s="11">
        <v>370307</v>
      </c>
      <c r="AI9" s="11"/>
      <c r="AJ9" s="12">
        <f t="shared" si="0"/>
        <v>8546890.4600000009</v>
      </c>
    </row>
    <row r="10" spans="1:36" x14ac:dyDescent="0.25">
      <c r="A10" s="3" t="s">
        <v>87</v>
      </c>
      <c r="B10" s="11">
        <v>1760</v>
      </c>
      <c r="C10" s="11">
        <v>6141</v>
      </c>
      <c r="D10" s="11">
        <v>75978</v>
      </c>
      <c r="E10" s="11">
        <v>24531</v>
      </c>
      <c r="F10" s="11">
        <v>156658</v>
      </c>
      <c r="G10" s="11">
        <v>3849</v>
      </c>
      <c r="H10" s="11">
        <v>5775</v>
      </c>
      <c r="I10" s="11">
        <v>3930</v>
      </c>
      <c r="J10" s="11">
        <v>8916</v>
      </c>
      <c r="K10" s="11">
        <v>1340</v>
      </c>
      <c r="L10" s="11">
        <v>34472.699999999997</v>
      </c>
      <c r="M10" s="11">
        <v>7230</v>
      </c>
      <c r="N10" s="11">
        <v>4469</v>
      </c>
      <c r="O10" s="11">
        <v>175977</v>
      </c>
      <c r="P10" s="11">
        <v>358675</v>
      </c>
      <c r="Q10" s="11">
        <v>122072</v>
      </c>
      <c r="R10" s="11">
        <v>78</v>
      </c>
      <c r="S10" s="11">
        <v>873</v>
      </c>
      <c r="T10" s="11">
        <v>765</v>
      </c>
      <c r="U10" s="11">
        <v>4815</v>
      </c>
      <c r="V10" s="11">
        <v>108704.87414042919</v>
      </c>
      <c r="W10" s="11">
        <v>273337</v>
      </c>
      <c r="X10" s="11">
        <v>87111</v>
      </c>
      <c r="Y10" s="11">
        <v>230</v>
      </c>
      <c r="Z10" s="11">
        <v>16865</v>
      </c>
      <c r="AA10" s="11">
        <v>435</v>
      </c>
      <c r="AB10" s="11">
        <v>601</v>
      </c>
      <c r="AC10" s="11">
        <v>10540</v>
      </c>
      <c r="AD10" s="11">
        <v>13794</v>
      </c>
      <c r="AE10" s="11">
        <v>39396</v>
      </c>
      <c r="AF10" s="11">
        <v>146658</v>
      </c>
      <c r="AG10" s="11">
        <v>58360</v>
      </c>
      <c r="AH10" s="11">
        <v>68118</v>
      </c>
      <c r="AI10" s="11">
        <v>18929</v>
      </c>
      <c r="AJ10" s="12">
        <f t="shared" si="0"/>
        <v>1841383.574140429</v>
      </c>
    </row>
    <row r="11" spans="1:36" x14ac:dyDescent="0.25">
      <c r="A11" s="3" t="s">
        <v>88</v>
      </c>
      <c r="B11" s="11">
        <v>11107</v>
      </c>
      <c r="C11" s="11">
        <v>74866</v>
      </c>
      <c r="D11" s="11">
        <v>411567</v>
      </c>
      <c r="E11" s="11">
        <v>84501</v>
      </c>
      <c r="F11" s="11">
        <v>362075</v>
      </c>
      <c r="G11" s="11">
        <v>108674</v>
      </c>
      <c r="H11" s="11">
        <v>76116</v>
      </c>
      <c r="I11" s="11">
        <v>35190</v>
      </c>
      <c r="J11" s="11">
        <v>149019</v>
      </c>
      <c r="K11" s="11">
        <v>6793</v>
      </c>
      <c r="L11" s="11">
        <v>35183.72</v>
      </c>
      <c r="M11" s="11">
        <v>40108</v>
      </c>
      <c r="N11" s="11">
        <v>76813</v>
      </c>
      <c r="O11" s="11">
        <v>227969</v>
      </c>
      <c r="P11" s="11">
        <v>177154</v>
      </c>
      <c r="Q11" s="11">
        <v>137630</v>
      </c>
      <c r="R11" s="11">
        <v>16807</v>
      </c>
      <c r="S11" s="11">
        <v>29616</v>
      </c>
      <c r="T11" s="11">
        <v>36734</v>
      </c>
      <c r="U11" s="11">
        <v>71580</v>
      </c>
      <c r="V11" s="11">
        <v>153873.46144552529</v>
      </c>
      <c r="W11" s="11">
        <v>918676</v>
      </c>
      <c r="X11" s="11">
        <v>423969</v>
      </c>
      <c r="Y11" s="11">
        <v>7286</v>
      </c>
      <c r="Z11" s="11">
        <v>102742</v>
      </c>
      <c r="AA11" s="11">
        <v>13485</v>
      </c>
      <c r="AB11" s="11">
        <v>154351</v>
      </c>
      <c r="AC11" s="11">
        <v>86112</v>
      </c>
      <c r="AD11" s="11">
        <v>338923</v>
      </c>
      <c r="AE11" s="11">
        <v>30857</v>
      </c>
      <c r="AF11" s="11">
        <v>174882</v>
      </c>
      <c r="AG11" s="11">
        <v>19459</v>
      </c>
      <c r="AH11" s="11">
        <v>244158</v>
      </c>
      <c r="AI11" s="11">
        <v>299554</v>
      </c>
      <c r="AJ11" s="12">
        <f t="shared" si="0"/>
        <v>5137830.181445525</v>
      </c>
    </row>
    <row r="12" spans="1:36" x14ac:dyDescent="0.25">
      <c r="A12" s="3" t="s">
        <v>89</v>
      </c>
      <c r="B12" s="11"/>
      <c r="C12" s="11">
        <v>8705</v>
      </c>
      <c r="D12" s="11">
        <v>17709</v>
      </c>
      <c r="E12" s="11">
        <v>14880</v>
      </c>
      <c r="F12" s="11">
        <v>26781</v>
      </c>
      <c r="G12" s="11"/>
      <c r="H12" s="11">
        <v>17698</v>
      </c>
      <c r="I12" s="11"/>
      <c r="J12" s="11">
        <v>1752</v>
      </c>
      <c r="K12" s="11"/>
      <c r="L12" s="11">
        <v>3146.99</v>
      </c>
      <c r="M12" s="11">
        <v>2318</v>
      </c>
      <c r="N12" s="11"/>
      <c r="O12" s="11">
        <v>115648</v>
      </c>
      <c r="P12" s="11">
        <v>100212</v>
      </c>
      <c r="Q12" s="11">
        <v>8946</v>
      </c>
      <c r="R12" s="11">
        <v>25564</v>
      </c>
      <c r="S12" s="11">
        <v>3724</v>
      </c>
      <c r="T12" s="11">
        <v>6392</v>
      </c>
      <c r="U12" s="11"/>
      <c r="V12" s="11">
        <v>531187.65606713132</v>
      </c>
      <c r="W12" s="11">
        <v>1069121</v>
      </c>
      <c r="X12" s="11">
        <v>557942</v>
      </c>
      <c r="Y12" s="11">
        <v>468</v>
      </c>
      <c r="Z12" s="11">
        <v>11443</v>
      </c>
      <c r="AA12" s="11"/>
      <c r="AB12" s="11">
        <v>32</v>
      </c>
      <c r="AC12" s="11">
        <v>3043</v>
      </c>
      <c r="AD12" s="11">
        <v>970</v>
      </c>
      <c r="AE12" s="11">
        <v>344</v>
      </c>
      <c r="AF12" s="11">
        <v>27726</v>
      </c>
      <c r="AG12" s="11">
        <v>277693</v>
      </c>
      <c r="AH12" s="11">
        <v>471484</v>
      </c>
      <c r="AI12" s="11">
        <v>7423</v>
      </c>
      <c r="AJ12" s="12">
        <f t="shared" si="0"/>
        <v>3312352.6460671313</v>
      </c>
    </row>
    <row r="13" spans="1:36" x14ac:dyDescent="0.25">
      <c r="A13" s="3" t="s">
        <v>90</v>
      </c>
      <c r="B13" s="11">
        <v>1104</v>
      </c>
      <c r="C13" s="11">
        <v>23991</v>
      </c>
      <c r="D13" s="11">
        <v>9236</v>
      </c>
      <c r="E13" s="11">
        <v>15445</v>
      </c>
      <c r="F13" s="11">
        <v>86945</v>
      </c>
      <c r="G13" s="11">
        <v>7803</v>
      </c>
      <c r="H13" s="11">
        <v>8936</v>
      </c>
      <c r="I13" s="11">
        <v>3712</v>
      </c>
      <c r="J13" s="11">
        <v>9657</v>
      </c>
      <c r="K13" s="11">
        <v>1266</v>
      </c>
      <c r="L13" s="11">
        <v>17139.240000000002</v>
      </c>
      <c r="M13" s="11">
        <v>24665</v>
      </c>
      <c r="N13" s="11">
        <v>17967</v>
      </c>
      <c r="O13" s="11">
        <v>43461</v>
      </c>
      <c r="P13" s="11">
        <v>381440</v>
      </c>
      <c r="Q13" s="11">
        <v>27616</v>
      </c>
      <c r="R13" s="11">
        <v>959</v>
      </c>
      <c r="S13" s="11">
        <v>9040</v>
      </c>
      <c r="T13" s="11">
        <v>948</v>
      </c>
      <c r="U13" s="11">
        <v>17144</v>
      </c>
      <c r="V13" s="11">
        <v>15007.625859256223</v>
      </c>
      <c r="W13" s="11">
        <v>22416</v>
      </c>
      <c r="X13" s="11">
        <v>14596</v>
      </c>
      <c r="Y13" s="11">
        <v>390</v>
      </c>
      <c r="Z13" s="11">
        <v>35252</v>
      </c>
      <c r="AA13" s="11">
        <v>3405</v>
      </c>
      <c r="AB13" s="11">
        <v>22856</v>
      </c>
      <c r="AC13" s="11">
        <v>17792</v>
      </c>
      <c r="AD13" s="11">
        <v>42425</v>
      </c>
      <c r="AE13" s="11">
        <v>29121</v>
      </c>
      <c r="AF13" s="11">
        <v>80786</v>
      </c>
      <c r="AG13" s="11">
        <v>40262</v>
      </c>
      <c r="AH13" s="11">
        <v>17133</v>
      </c>
      <c r="AI13" s="11">
        <v>5778</v>
      </c>
      <c r="AJ13" s="12">
        <f t="shared" si="0"/>
        <v>1055693.8658592561</v>
      </c>
    </row>
    <row r="14" spans="1:36" x14ac:dyDescent="0.25">
      <c r="A14" s="3" t="s">
        <v>91</v>
      </c>
      <c r="B14" s="11"/>
      <c r="C14" s="11"/>
      <c r="D14" s="11">
        <v>5898</v>
      </c>
      <c r="E14" s="11"/>
      <c r="F14" s="11"/>
      <c r="G14" s="11"/>
      <c r="H14" s="11">
        <v>11883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4306</v>
      </c>
      <c r="U14" s="11"/>
      <c r="V14" s="11">
        <v>91436.70885261934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>
        <v>49308</v>
      </c>
      <c r="AH14" s="11">
        <v>80775</v>
      </c>
      <c r="AI14" s="11"/>
      <c r="AJ14" s="12">
        <f t="shared" si="0"/>
        <v>243606.70885261934</v>
      </c>
    </row>
    <row r="15" spans="1:36" x14ac:dyDescent="0.25">
      <c r="A15" s="3" t="s">
        <v>92</v>
      </c>
      <c r="B15" s="11">
        <f>B16-B14-B13-B12-B11-B10-B9-B8-B7-B6-B5-B4</f>
        <v>0</v>
      </c>
      <c r="C15" s="11">
        <f t="shared" ref="C15:AI15" si="1">C16-C14-C13-C12-C11-C10-C9-C8-C7-C6-C5-C4</f>
        <v>55728</v>
      </c>
      <c r="D15" s="11">
        <f t="shared" si="1"/>
        <v>-2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46207</v>
      </c>
      <c r="I15" s="11">
        <f t="shared" si="1"/>
        <v>0</v>
      </c>
      <c r="J15" s="11">
        <f t="shared" si="1"/>
        <v>0</v>
      </c>
      <c r="K15" s="11">
        <f t="shared" si="1"/>
        <v>1578</v>
      </c>
      <c r="L15" s="11">
        <f t="shared" si="1"/>
        <v>2.0008883439004421E-10</v>
      </c>
      <c r="M15" s="11">
        <f t="shared" si="1"/>
        <v>32115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12367</v>
      </c>
      <c r="T15" s="11">
        <f t="shared" si="1"/>
        <v>0</v>
      </c>
      <c r="U15" s="11">
        <f t="shared" si="1"/>
        <v>-1</v>
      </c>
      <c r="V15" s="11">
        <f t="shared" si="1"/>
        <v>655250.67363503855</v>
      </c>
      <c r="W15" s="11">
        <f t="shared" si="1"/>
        <v>170530</v>
      </c>
      <c r="X15" s="11">
        <f t="shared" si="1"/>
        <v>306136</v>
      </c>
      <c r="Y15" s="11">
        <f t="shared" si="1"/>
        <v>1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1</v>
      </c>
      <c r="AD15" s="11">
        <f t="shared" si="1"/>
        <v>0</v>
      </c>
      <c r="AE15" s="11">
        <f t="shared" si="1"/>
        <v>-1</v>
      </c>
      <c r="AF15" s="11">
        <f t="shared" si="1"/>
        <v>128</v>
      </c>
      <c r="AG15" s="11">
        <f t="shared" si="1"/>
        <v>0</v>
      </c>
      <c r="AH15" s="11">
        <f t="shared" si="1"/>
        <v>71294</v>
      </c>
      <c r="AI15" s="11">
        <f t="shared" si="1"/>
        <v>0</v>
      </c>
      <c r="AJ15" s="12">
        <f t="shared" si="0"/>
        <v>1351331.6736350388</v>
      </c>
    </row>
    <row r="16" spans="1:36" s="9" customFormat="1" x14ac:dyDescent="0.25">
      <c r="A16" s="4" t="s">
        <v>57</v>
      </c>
      <c r="B16" s="12">
        <v>18858</v>
      </c>
      <c r="C16" s="12">
        <v>574375</v>
      </c>
      <c r="D16" s="12">
        <v>2641939</v>
      </c>
      <c r="E16" s="12">
        <v>307952</v>
      </c>
      <c r="F16" s="12">
        <v>3928184</v>
      </c>
      <c r="G16" s="12">
        <v>184644</v>
      </c>
      <c r="H16" s="12">
        <v>706795</v>
      </c>
      <c r="I16" s="12">
        <v>64956</v>
      </c>
      <c r="J16" s="12">
        <v>530003</v>
      </c>
      <c r="K16" s="12">
        <v>90705</v>
      </c>
      <c r="L16" s="12">
        <v>1197884.99</v>
      </c>
      <c r="M16" s="12">
        <v>148542</v>
      </c>
      <c r="N16" s="12">
        <v>136026</v>
      </c>
      <c r="O16" s="12">
        <v>2047231</v>
      </c>
      <c r="P16" s="12">
        <v>4449264</v>
      </c>
      <c r="Q16" s="12">
        <v>479016</v>
      </c>
      <c r="R16" s="12">
        <v>67187</v>
      </c>
      <c r="S16" s="12">
        <v>175621</v>
      </c>
      <c r="T16" s="12">
        <v>261891</v>
      </c>
      <c r="U16" s="12">
        <v>315836</v>
      </c>
      <c r="V16" s="12">
        <v>2818256</v>
      </c>
      <c r="W16" s="12">
        <v>4596470</v>
      </c>
      <c r="X16" s="12">
        <v>2161740</v>
      </c>
      <c r="Y16" s="12">
        <v>20154</v>
      </c>
      <c r="Z16" s="12">
        <v>314353</v>
      </c>
      <c r="AA16" s="12">
        <v>412094</v>
      </c>
      <c r="AB16" s="12">
        <v>527739</v>
      </c>
      <c r="AC16" s="12">
        <v>273291</v>
      </c>
      <c r="AD16" s="12">
        <v>802742</v>
      </c>
      <c r="AE16" s="12">
        <v>502799</v>
      </c>
      <c r="AF16" s="12">
        <v>828382</v>
      </c>
      <c r="AG16" s="12">
        <v>1807913</v>
      </c>
      <c r="AH16" s="12">
        <v>1564241</v>
      </c>
      <c r="AI16" s="12">
        <v>354845</v>
      </c>
      <c r="AJ16" s="12">
        <f t="shared" si="0"/>
        <v>35311928.990000002</v>
      </c>
    </row>
    <row r="17" spans="1:36" x14ac:dyDescent="0.25">
      <c r="A17" s="3" t="s">
        <v>93</v>
      </c>
      <c r="B17" s="11"/>
      <c r="C17" s="11"/>
      <c r="D17" s="11"/>
      <c r="E17" s="11">
        <v>121216</v>
      </c>
      <c r="F17" s="11">
        <v>336955</v>
      </c>
      <c r="G17" s="11">
        <v>9373</v>
      </c>
      <c r="H17" s="11">
        <v>30502</v>
      </c>
      <c r="I17" s="11">
        <v>51539</v>
      </c>
      <c r="J17" s="11">
        <v>15113</v>
      </c>
      <c r="K17" s="11">
        <v>23287</v>
      </c>
      <c r="L17" s="11">
        <v>1503434.64</v>
      </c>
      <c r="M17" s="11">
        <v>5620</v>
      </c>
      <c r="N17" s="11">
        <v>19449</v>
      </c>
      <c r="O17" s="11">
        <v>110707</v>
      </c>
      <c r="P17" s="11">
        <v>200735</v>
      </c>
      <c r="Q17" s="11">
        <v>141989</v>
      </c>
      <c r="R17" s="11"/>
      <c r="S17" s="11">
        <v>77775</v>
      </c>
      <c r="T17" s="11">
        <v>14262</v>
      </c>
      <c r="U17" s="11">
        <v>42727</v>
      </c>
      <c r="V17" s="11">
        <v>860201</v>
      </c>
      <c r="W17" s="11">
        <v>411651</v>
      </c>
      <c r="X17" s="11">
        <v>3657070</v>
      </c>
      <c r="Y17" s="11"/>
      <c r="Z17" s="11">
        <v>15547</v>
      </c>
      <c r="AA17" s="11">
        <v>24881</v>
      </c>
      <c r="AB17" s="11">
        <v>21549</v>
      </c>
      <c r="AC17" s="11">
        <v>11416</v>
      </c>
      <c r="AD17" s="11">
        <v>112539</v>
      </c>
      <c r="AE17" s="11"/>
      <c r="AF17" s="11">
        <v>139391</v>
      </c>
      <c r="AG17" s="11">
        <v>12660</v>
      </c>
      <c r="AH17" s="11">
        <v>978000</v>
      </c>
      <c r="AI17" s="11">
        <v>20331</v>
      </c>
      <c r="AJ17" s="12">
        <f t="shared" si="0"/>
        <v>8969919.6400000006</v>
      </c>
    </row>
    <row r="18" spans="1:36" ht="30" x14ac:dyDescent="0.25">
      <c r="A18" s="3" t="s">
        <v>94</v>
      </c>
      <c r="B18" s="11"/>
      <c r="C18" s="11">
        <v>50898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>
        <f t="shared" si="0"/>
        <v>50898</v>
      </c>
    </row>
    <row r="19" spans="1:36" s="9" customFormat="1" x14ac:dyDescent="0.25">
      <c r="A19" s="4" t="s">
        <v>95</v>
      </c>
      <c r="B19" s="12">
        <f>B16+B17+B18</f>
        <v>18858</v>
      </c>
      <c r="C19" s="12">
        <f t="shared" ref="C19:AI19" si="2">C16+C17+C18</f>
        <v>625273</v>
      </c>
      <c r="D19" s="12">
        <f t="shared" si="2"/>
        <v>2641939</v>
      </c>
      <c r="E19" s="12">
        <f t="shared" si="2"/>
        <v>429168</v>
      </c>
      <c r="F19" s="12">
        <f t="shared" si="2"/>
        <v>4265139</v>
      </c>
      <c r="G19" s="12">
        <f t="shared" si="2"/>
        <v>194017</v>
      </c>
      <c r="H19" s="12">
        <f t="shared" si="2"/>
        <v>737297</v>
      </c>
      <c r="I19" s="12">
        <f t="shared" si="2"/>
        <v>116495</v>
      </c>
      <c r="J19" s="12">
        <f t="shared" si="2"/>
        <v>545116</v>
      </c>
      <c r="K19" s="12">
        <f t="shared" si="2"/>
        <v>113992</v>
      </c>
      <c r="L19" s="12">
        <f t="shared" si="2"/>
        <v>2701319.63</v>
      </c>
      <c r="M19" s="12">
        <f t="shared" si="2"/>
        <v>154162</v>
      </c>
      <c r="N19" s="12">
        <f t="shared" si="2"/>
        <v>155475</v>
      </c>
      <c r="O19" s="12">
        <f t="shared" si="2"/>
        <v>2157938</v>
      </c>
      <c r="P19" s="12">
        <f t="shared" si="2"/>
        <v>4649999</v>
      </c>
      <c r="Q19" s="12">
        <f t="shared" si="2"/>
        <v>621005</v>
      </c>
      <c r="R19" s="12">
        <f t="shared" si="2"/>
        <v>67187</v>
      </c>
      <c r="S19" s="12">
        <f t="shared" si="2"/>
        <v>253396</v>
      </c>
      <c r="T19" s="12">
        <f t="shared" si="2"/>
        <v>276153</v>
      </c>
      <c r="U19" s="12">
        <f t="shared" si="2"/>
        <v>358563</v>
      </c>
      <c r="V19" s="12">
        <f t="shared" si="2"/>
        <v>3678457</v>
      </c>
      <c r="W19" s="12">
        <f t="shared" si="2"/>
        <v>5008121</v>
      </c>
      <c r="X19" s="12">
        <f t="shared" si="2"/>
        <v>5818810</v>
      </c>
      <c r="Y19" s="12">
        <f t="shared" si="2"/>
        <v>20154</v>
      </c>
      <c r="Z19" s="12">
        <f t="shared" si="2"/>
        <v>329900</v>
      </c>
      <c r="AA19" s="12">
        <f t="shared" si="2"/>
        <v>436975</v>
      </c>
      <c r="AB19" s="12">
        <f t="shared" si="2"/>
        <v>549288</v>
      </c>
      <c r="AC19" s="12">
        <f t="shared" si="2"/>
        <v>284707</v>
      </c>
      <c r="AD19" s="12">
        <f t="shared" si="2"/>
        <v>915281</v>
      </c>
      <c r="AE19" s="12">
        <f t="shared" si="2"/>
        <v>502799</v>
      </c>
      <c r="AF19" s="12">
        <f t="shared" si="2"/>
        <v>967773</v>
      </c>
      <c r="AG19" s="12">
        <f t="shared" si="2"/>
        <v>1820573</v>
      </c>
      <c r="AH19" s="12">
        <f t="shared" si="2"/>
        <v>2542241</v>
      </c>
      <c r="AI19" s="12">
        <f t="shared" si="2"/>
        <v>375176</v>
      </c>
      <c r="AJ19" s="12">
        <f t="shared" si="0"/>
        <v>44332746.629999995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8" customWidth="1"/>
    <col min="2" max="35" width="16" style="8" customWidth="1"/>
    <col min="36" max="36" width="16" style="74" customWidth="1"/>
    <col min="37" max="16384" width="9.140625" style="8"/>
  </cols>
  <sheetData>
    <row r="1" spans="1:36" ht="18.75" x14ac:dyDescent="0.3">
      <c r="A1" s="18" t="s">
        <v>96</v>
      </c>
    </row>
    <row r="2" spans="1:36" x14ac:dyDescent="0.25">
      <c r="A2" s="7" t="s">
        <v>48</v>
      </c>
    </row>
    <row r="3" spans="1:36" x14ac:dyDescent="0.25">
      <c r="A3" s="1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64" t="s">
        <v>9</v>
      </c>
      <c r="K3" s="64" t="s">
        <v>10</v>
      </c>
      <c r="L3" s="64" t="s">
        <v>11</v>
      </c>
      <c r="M3" s="64" t="s">
        <v>12</v>
      </c>
      <c r="N3" s="64" t="s">
        <v>13</v>
      </c>
      <c r="O3" s="64" t="s">
        <v>14</v>
      </c>
      <c r="P3" s="64" t="s">
        <v>15</v>
      </c>
      <c r="Q3" s="64" t="s">
        <v>16</v>
      </c>
      <c r="R3" s="64" t="s">
        <v>17</v>
      </c>
      <c r="S3" s="64" t="s">
        <v>18</v>
      </c>
      <c r="T3" s="64" t="s">
        <v>19</v>
      </c>
      <c r="U3" s="64" t="s">
        <v>20</v>
      </c>
      <c r="V3" s="64" t="s">
        <v>21</v>
      </c>
      <c r="W3" s="64" t="s">
        <v>22</v>
      </c>
      <c r="X3" s="64" t="s">
        <v>23</v>
      </c>
      <c r="Y3" s="64" t="s">
        <v>24</v>
      </c>
      <c r="Z3" s="64" t="s">
        <v>25</v>
      </c>
      <c r="AA3" s="64" t="s">
        <v>26</v>
      </c>
      <c r="AB3" s="64" t="s">
        <v>27</v>
      </c>
      <c r="AC3" s="64" t="s">
        <v>28</v>
      </c>
      <c r="AD3" s="64" t="s">
        <v>29</v>
      </c>
      <c r="AE3" s="64" t="s">
        <v>30</v>
      </c>
      <c r="AF3" s="64" t="s">
        <v>31</v>
      </c>
      <c r="AG3" s="64" t="s">
        <v>32</v>
      </c>
      <c r="AH3" s="65" t="s">
        <v>33</v>
      </c>
      <c r="AI3" s="64" t="s">
        <v>34</v>
      </c>
      <c r="AJ3" s="64" t="s">
        <v>35</v>
      </c>
    </row>
    <row r="4" spans="1:36" ht="15" customHeight="1" x14ac:dyDescent="0.25">
      <c r="A4" s="3" t="s">
        <v>97</v>
      </c>
      <c r="B4" s="11">
        <v>227</v>
      </c>
      <c r="C4" s="11">
        <v>958</v>
      </c>
      <c r="D4" s="11">
        <v>60</v>
      </c>
      <c r="E4" s="11">
        <v>10785</v>
      </c>
      <c r="F4" s="11">
        <v>346184</v>
      </c>
      <c r="G4" s="11">
        <v>66606</v>
      </c>
      <c r="H4" s="11">
        <v>127284</v>
      </c>
      <c r="I4" s="11">
        <v>16498</v>
      </c>
      <c r="J4" s="11">
        <v>5384</v>
      </c>
      <c r="K4" s="11">
        <v>1848</v>
      </c>
      <c r="L4" s="11">
        <v>438.85</v>
      </c>
      <c r="M4" s="11">
        <v>373321</v>
      </c>
      <c r="N4" s="11">
        <v>214310</v>
      </c>
      <c r="O4" s="11">
        <v>466908</v>
      </c>
      <c r="P4" s="11">
        <v>256395</v>
      </c>
      <c r="Q4" s="11">
        <v>18538</v>
      </c>
      <c r="R4" s="11">
        <v>4834</v>
      </c>
      <c r="S4" s="11">
        <v>116645</v>
      </c>
      <c r="T4" s="11">
        <v>10425</v>
      </c>
      <c r="U4" s="11">
        <v>11429</v>
      </c>
      <c r="V4" s="11">
        <v>210316</v>
      </c>
      <c r="W4" s="11">
        <v>19575</v>
      </c>
      <c r="X4" s="11">
        <v>54442</v>
      </c>
      <c r="Y4" s="11">
        <v>51</v>
      </c>
      <c r="Z4" s="11">
        <v>8801</v>
      </c>
      <c r="AA4" s="11">
        <v>293</v>
      </c>
      <c r="AB4" s="11">
        <v>19576</v>
      </c>
      <c r="AC4" s="11">
        <v>52846</v>
      </c>
      <c r="AD4" s="11">
        <v>16166</v>
      </c>
      <c r="AE4" s="11">
        <v>214746</v>
      </c>
      <c r="AF4" s="11">
        <v>24052</v>
      </c>
      <c r="AG4" s="11">
        <v>117211</v>
      </c>
      <c r="AH4">
        <v>287595</v>
      </c>
      <c r="AI4" s="11">
        <v>148238</v>
      </c>
      <c r="AJ4" s="12">
        <f>SUM(B4:AI4)</f>
        <v>3222985.85</v>
      </c>
    </row>
    <row r="5" spans="1:36" x14ac:dyDescent="0.25">
      <c r="A5" s="3" t="s">
        <v>98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2">
        <f t="shared" ref="AJ5:AJ16" si="0">SUM(B5:AI5)</f>
        <v>0</v>
      </c>
    </row>
    <row r="6" spans="1:36" x14ac:dyDescent="0.25">
      <c r="A6" s="3" t="s">
        <v>99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>
        <f t="shared" si="0"/>
        <v>0</v>
      </c>
    </row>
    <row r="7" spans="1:36" ht="15" customHeight="1" x14ac:dyDescent="0.25">
      <c r="A7" s="3" t="s">
        <v>100</v>
      </c>
      <c r="B7" s="11"/>
      <c r="C7" s="11">
        <v>3958</v>
      </c>
      <c r="D7" s="11">
        <v>60123471</v>
      </c>
      <c r="E7" s="11">
        <v>2823250</v>
      </c>
      <c r="F7" s="11">
        <v>1518448</v>
      </c>
      <c r="G7" s="11">
        <v>222586</v>
      </c>
      <c r="H7" s="11"/>
      <c r="I7" s="11">
        <v>10000</v>
      </c>
      <c r="J7" s="11">
        <v>1018</v>
      </c>
      <c r="K7" s="11"/>
      <c r="L7" s="11">
        <v>7739000</v>
      </c>
      <c r="M7" s="11"/>
      <c r="N7" s="11"/>
      <c r="O7" s="11">
        <v>180500</v>
      </c>
      <c r="P7" s="11">
        <v>544382</v>
      </c>
      <c r="Q7" s="11"/>
      <c r="R7" s="11"/>
      <c r="S7" s="11">
        <v>51600</v>
      </c>
      <c r="T7" s="11"/>
      <c r="U7" s="11">
        <v>63000</v>
      </c>
      <c r="V7" s="11">
        <v>1293361</v>
      </c>
      <c r="W7" s="11">
        <v>22360943</v>
      </c>
      <c r="X7" s="11">
        <v>15654858</v>
      </c>
      <c r="Y7" s="11"/>
      <c r="Z7" s="11">
        <v>12726</v>
      </c>
      <c r="AA7" s="11"/>
      <c r="AB7" s="11">
        <v>8274</v>
      </c>
      <c r="AC7" s="11"/>
      <c r="AD7" s="11"/>
      <c r="AE7" s="11"/>
      <c r="AF7" s="11">
        <v>999400</v>
      </c>
      <c r="AG7" s="11"/>
      <c r="AH7">
        <v>9983841</v>
      </c>
      <c r="AI7" s="11"/>
      <c r="AJ7" s="12">
        <f t="shared" si="0"/>
        <v>123594616</v>
      </c>
    </row>
    <row r="8" spans="1:36" x14ac:dyDescent="0.25">
      <c r="A8" s="3" t="s">
        <v>101</v>
      </c>
      <c r="B8" s="11"/>
      <c r="C8" s="11"/>
      <c r="D8" s="11"/>
      <c r="E8" s="11">
        <v>502500</v>
      </c>
      <c r="F8" s="11"/>
      <c r="G8" s="11"/>
      <c r="H8" s="11"/>
      <c r="I8" s="11">
        <v>2500</v>
      </c>
      <c r="J8" s="11"/>
      <c r="K8" s="11"/>
      <c r="L8" s="11"/>
      <c r="M8" s="11">
        <v>1885</v>
      </c>
      <c r="N8" s="11"/>
      <c r="O8" s="11">
        <v>14227</v>
      </c>
      <c r="P8" s="11"/>
      <c r="Q8" s="11"/>
      <c r="R8" s="11"/>
      <c r="S8" s="11"/>
      <c r="T8" s="11"/>
      <c r="U8" s="11"/>
      <c r="V8" s="11"/>
      <c r="W8" s="11">
        <v>49901177</v>
      </c>
      <c r="X8" s="11"/>
      <c r="Y8" s="11"/>
      <c r="Z8" s="11"/>
      <c r="AA8" s="11"/>
      <c r="AB8" s="11">
        <v>2500</v>
      </c>
      <c r="AC8" s="11"/>
      <c r="AD8" s="11"/>
      <c r="AE8" s="11"/>
      <c r="AF8" s="11"/>
      <c r="AG8" s="11"/>
      <c r="AH8" s="11"/>
      <c r="AI8" s="11"/>
      <c r="AJ8" s="12">
        <f t="shared" si="0"/>
        <v>50424789</v>
      </c>
    </row>
    <row r="9" spans="1:36" x14ac:dyDescent="0.25">
      <c r="A9" s="3" t="s">
        <v>102</v>
      </c>
      <c r="B9" s="11">
        <v>68497</v>
      </c>
      <c r="C9" s="11">
        <v>282898</v>
      </c>
      <c r="D9" s="11">
        <v>610199</v>
      </c>
      <c r="E9" s="11">
        <v>236482</v>
      </c>
      <c r="F9" s="11">
        <v>2811879</v>
      </c>
      <c r="G9" s="11">
        <v>1201302</v>
      </c>
      <c r="H9" s="11">
        <v>587612</v>
      </c>
      <c r="I9" s="11">
        <v>123380</v>
      </c>
      <c r="J9" s="11">
        <v>30069</v>
      </c>
      <c r="K9" s="11">
        <v>6770</v>
      </c>
      <c r="L9" s="11">
        <v>95456.4</v>
      </c>
      <c r="M9" s="11">
        <v>925394</v>
      </c>
      <c r="N9" s="11">
        <v>429833</v>
      </c>
      <c r="O9" s="11">
        <v>2764459</v>
      </c>
      <c r="P9" s="11">
        <v>1099805</v>
      </c>
      <c r="Q9" s="11">
        <v>558186</v>
      </c>
      <c r="R9" s="11">
        <v>97010</v>
      </c>
      <c r="S9" s="11">
        <v>293027</v>
      </c>
      <c r="T9" s="11">
        <v>322048</v>
      </c>
      <c r="U9" s="11">
        <v>91511</v>
      </c>
      <c r="V9" s="11">
        <v>7988314</v>
      </c>
      <c r="W9" s="11">
        <v>3344660</v>
      </c>
      <c r="X9" s="11">
        <v>5617642</v>
      </c>
      <c r="Y9" s="11">
        <v>31775</v>
      </c>
      <c r="Z9" s="11">
        <v>1486910</v>
      </c>
      <c r="AA9" s="11">
        <v>15476</v>
      </c>
      <c r="AB9" s="11">
        <v>568835</v>
      </c>
      <c r="AC9" s="11">
        <v>496332</v>
      </c>
      <c r="AD9" s="11">
        <v>45254</v>
      </c>
      <c r="AE9" s="11">
        <v>290807</v>
      </c>
      <c r="AF9" s="11">
        <v>1087029</v>
      </c>
      <c r="AG9" s="11">
        <v>2526512</v>
      </c>
      <c r="AH9">
        <v>3312913</v>
      </c>
      <c r="AI9" s="11">
        <v>416740</v>
      </c>
      <c r="AJ9" s="12">
        <f t="shared" si="0"/>
        <v>39865016.399999999</v>
      </c>
    </row>
    <row r="10" spans="1:36" x14ac:dyDescent="0.25">
      <c r="A10" s="3" t="s">
        <v>103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26739</v>
      </c>
      <c r="U10" s="11"/>
      <c r="V10" s="11"/>
      <c r="W10" s="11"/>
      <c r="X10" s="11"/>
      <c r="Y10" s="11"/>
      <c r="Z10" s="11">
        <v>240387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2">
        <f t="shared" si="0"/>
        <v>267126</v>
      </c>
    </row>
    <row r="11" spans="1:36" x14ac:dyDescent="0.25">
      <c r="A11" s="3" t="s">
        <v>104</v>
      </c>
      <c r="B11" s="11"/>
      <c r="C11" s="11"/>
      <c r="D11" s="11"/>
      <c r="E11" s="11"/>
      <c r="F11" s="11"/>
      <c r="G11" s="11"/>
      <c r="H11" s="11">
        <v>6037</v>
      </c>
      <c r="I11" s="11"/>
      <c r="J11" s="11"/>
      <c r="K11" s="11"/>
      <c r="L11" s="11">
        <v>100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2">
        <f t="shared" si="0"/>
        <v>6137</v>
      </c>
    </row>
    <row r="12" spans="1:36" x14ac:dyDescent="0.25">
      <c r="A12" s="3" t="s">
        <v>105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2">
        <f t="shared" si="0"/>
        <v>0</v>
      </c>
    </row>
    <row r="13" spans="1:36" x14ac:dyDescent="0.25">
      <c r="A13" s="3" t="s">
        <v>106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>
        <v>10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>
        <f t="shared" si="0"/>
        <v>10</v>
      </c>
    </row>
    <row r="14" spans="1:36" x14ac:dyDescent="0.25">
      <c r="A14" s="3" t="s">
        <v>107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10504933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>
        <v>799589</v>
      </c>
      <c r="AI14" s="11"/>
      <c r="AJ14" s="12">
        <f t="shared" si="0"/>
        <v>11304522</v>
      </c>
    </row>
    <row r="15" spans="1:36" x14ac:dyDescent="0.25">
      <c r="A15" s="3" t="s">
        <v>46</v>
      </c>
      <c r="B15" s="11">
        <f>B16-B14-B13-B12-B11-B10-B9-B8-B7-B6-B5-B4</f>
        <v>0</v>
      </c>
      <c r="C15" s="11">
        <f t="shared" ref="C15:AI15" si="1">C16-C14-C13-C12-C11-C10-C9-C8-C7-C6-C5-C4</f>
        <v>0</v>
      </c>
      <c r="D15" s="11">
        <f t="shared" si="1"/>
        <v>-1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-3.7255176721373573E-10</v>
      </c>
      <c r="M15" s="11">
        <f t="shared" si="1"/>
        <v>0</v>
      </c>
      <c r="N15" s="11">
        <f t="shared" si="1"/>
        <v>-1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0</v>
      </c>
      <c r="V15" s="11">
        <f t="shared" si="1"/>
        <v>425</v>
      </c>
      <c r="W15" s="11">
        <f t="shared" si="1"/>
        <v>0</v>
      </c>
      <c r="X15" s="11">
        <f t="shared" si="1"/>
        <v>0</v>
      </c>
      <c r="Y15" s="11">
        <f t="shared" si="1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2">
        <f t="shared" si="0"/>
        <v>422.99999999962745</v>
      </c>
    </row>
    <row r="16" spans="1:36" s="9" customFormat="1" x14ac:dyDescent="0.25">
      <c r="A16" s="4" t="s">
        <v>57</v>
      </c>
      <c r="B16" s="12">
        <v>68724</v>
      </c>
      <c r="C16" s="12">
        <v>287814</v>
      </c>
      <c r="D16" s="12">
        <v>60733729</v>
      </c>
      <c r="E16" s="12">
        <v>3573017</v>
      </c>
      <c r="F16" s="12">
        <v>4676511</v>
      </c>
      <c r="G16" s="12">
        <v>1490494</v>
      </c>
      <c r="H16" s="12">
        <v>720933</v>
      </c>
      <c r="I16" s="12">
        <v>152378</v>
      </c>
      <c r="J16" s="12">
        <v>36471</v>
      </c>
      <c r="K16" s="12">
        <v>8618</v>
      </c>
      <c r="L16" s="12">
        <v>7834995.25</v>
      </c>
      <c r="M16" s="12">
        <v>1300600</v>
      </c>
      <c r="N16" s="12">
        <v>644142</v>
      </c>
      <c r="O16" s="12">
        <v>3426094</v>
      </c>
      <c r="P16" s="12">
        <v>1900582</v>
      </c>
      <c r="Q16" s="12">
        <v>576724</v>
      </c>
      <c r="R16" s="12">
        <v>101844</v>
      </c>
      <c r="S16" s="12">
        <v>461272</v>
      </c>
      <c r="T16" s="12">
        <v>359212</v>
      </c>
      <c r="U16" s="12">
        <v>165940</v>
      </c>
      <c r="V16" s="12">
        <v>9492416</v>
      </c>
      <c r="W16" s="12">
        <v>86131288</v>
      </c>
      <c r="X16" s="12">
        <v>21326952</v>
      </c>
      <c r="Y16" s="12">
        <v>31826</v>
      </c>
      <c r="Z16" s="12">
        <v>1748824</v>
      </c>
      <c r="AA16" s="12">
        <v>15769</v>
      </c>
      <c r="AB16" s="12">
        <v>599185</v>
      </c>
      <c r="AC16" s="12">
        <v>549178</v>
      </c>
      <c r="AD16" s="12">
        <v>61420</v>
      </c>
      <c r="AE16" s="12">
        <v>505553</v>
      </c>
      <c r="AF16" s="12">
        <v>2110481</v>
      </c>
      <c r="AG16" s="12">
        <v>2643723</v>
      </c>
      <c r="AH16" s="12">
        <v>14383938</v>
      </c>
      <c r="AI16" s="12">
        <v>564978</v>
      </c>
      <c r="AJ16" s="12">
        <f t="shared" si="0"/>
        <v>228685625.25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118</v>
      </c>
    </row>
    <row r="2" spans="1:36" x14ac:dyDescent="0.25">
      <c r="A2" s="19" t="s">
        <v>48</v>
      </c>
    </row>
    <row r="3" spans="1:36" x14ac:dyDescent="0.25">
      <c r="A3" s="1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64" t="s">
        <v>9</v>
      </c>
      <c r="K3" s="64" t="s">
        <v>10</v>
      </c>
      <c r="L3" s="64" t="s">
        <v>11</v>
      </c>
      <c r="M3" s="64" t="s">
        <v>12</v>
      </c>
      <c r="N3" s="64" t="s">
        <v>13</v>
      </c>
      <c r="O3" s="64" t="s">
        <v>14</v>
      </c>
      <c r="P3" s="64" t="s">
        <v>15</v>
      </c>
      <c r="Q3" s="64" t="s">
        <v>16</v>
      </c>
      <c r="R3" s="64" t="s">
        <v>17</v>
      </c>
      <c r="S3" s="64" t="s">
        <v>18</v>
      </c>
      <c r="T3" s="64" t="s">
        <v>19</v>
      </c>
      <c r="U3" s="64" t="s">
        <v>20</v>
      </c>
      <c r="V3" s="64" t="s">
        <v>21</v>
      </c>
      <c r="W3" s="64" t="s">
        <v>22</v>
      </c>
      <c r="X3" s="64" t="s">
        <v>23</v>
      </c>
      <c r="Y3" s="64" t="s">
        <v>24</v>
      </c>
      <c r="Z3" s="64" t="s">
        <v>25</v>
      </c>
      <c r="AA3" s="64" t="s">
        <v>26</v>
      </c>
      <c r="AB3" s="64" t="s">
        <v>27</v>
      </c>
      <c r="AC3" s="64" t="s">
        <v>28</v>
      </c>
      <c r="AD3" s="64" t="s">
        <v>29</v>
      </c>
      <c r="AE3" s="64" t="s">
        <v>30</v>
      </c>
      <c r="AF3" s="64" t="s">
        <v>31</v>
      </c>
      <c r="AG3" s="64" t="s">
        <v>32</v>
      </c>
      <c r="AH3" s="65" t="s">
        <v>33</v>
      </c>
      <c r="AI3" s="64" t="s">
        <v>34</v>
      </c>
      <c r="AJ3" s="64" t="s">
        <v>35</v>
      </c>
    </row>
    <row r="4" spans="1:36" x14ac:dyDescent="0.25">
      <c r="A4" s="3" t="s">
        <v>108</v>
      </c>
      <c r="B4" s="11">
        <v>5594</v>
      </c>
      <c r="C4" s="11">
        <v>72735</v>
      </c>
      <c r="D4" s="11"/>
      <c r="E4" s="11">
        <v>93053</v>
      </c>
      <c r="F4" s="11">
        <v>1279752</v>
      </c>
      <c r="G4" s="11">
        <v>146187</v>
      </c>
      <c r="H4" s="11">
        <v>175978</v>
      </c>
      <c r="I4" s="11">
        <v>37236</v>
      </c>
      <c r="J4" s="11">
        <v>78877</v>
      </c>
      <c r="K4" s="11">
        <v>952</v>
      </c>
      <c r="L4" s="11"/>
      <c r="M4" s="11">
        <v>88635</v>
      </c>
      <c r="N4" s="11">
        <v>92891</v>
      </c>
      <c r="O4" s="11">
        <v>271626</v>
      </c>
      <c r="P4" s="11">
        <v>115125</v>
      </c>
      <c r="Q4" s="11">
        <v>524781</v>
      </c>
      <c r="R4" s="11">
        <v>21323</v>
      </c>
      <c r="S4" s="11">
        <v>198993</v>
      </c>
      <c r="T4" s="11">
        <v>28484</v>
      </c>
      <c r="U4" s="11">
        <v>88030</v>
      </c>
      <c r="V4" s="11">
        <v>1420180</v>
      </c>
      <c r="W4" s="11">
        <v>1945378</v>
      </c>
      <c r="X4" s="11">
        <v>879814</v>
      </c>
      <c r="Y4" s="11">
        <v>11969</v>
      </c>
      <c r="Z4" s="11">
        <v>257994</v>
      </c>
      <c r="AA4" s="11">
        <v>730</v>
      </c>
      <c r="AB4" s="11">
        <v>140711</v>
      </c>
      <c r="AC4" s="11">
        <v>312132</v>
      </c>
      <c r="AD4" s="11">
        <v>348520</v>
      </c>
      <c r="AE4" s="11">
        <v>90437.67</v>
      </c>
      <c r="AF4" s="11">
        <v>108249</v>
      </c>
      <c r="AG4" s="11">
        <v>1060431</v>
      </c>
      <c r="AH4" s="39">
        <v>1152822</v>
      </c>
      <c r="AI4" s="11">
        <v>99284</v>
      </c>
      <c r="AJ4" s="12">
        <f>SUM(B4:AI4)</f>
        <v>11148903.67</v>
      </c>
    </row>
    <row r="5" spans="1:36" ht="15" customHeight="1" x14ac:dyDescent="0.25">
      <c r="A5" s="3" t="s">
        <v>109</v>
      </c>
      <c r="B5" s="11">
        <v>285552</v>
      </c>
      <c r="C5" s="11">
        <v>90630</v>
      </c>
      <c r="D5" s="11">
        <v>26588724</v>
      </c>
      <c r="E5" s="11">
        <v>82401</v>
      </c>
      <c r="F5" s="11">
        <v>14051450</v>
      </c>
      <c r="G5" s="11">
        <v>4090742</v>
      </c>
      <c r="H5" s="11">
        <v>2373788</v>
      </c>
      <c r="I5" s="11">
        <v>37935</v>
      </c>
      <c r="J5" s="11">
        <v>181365</v>
      </c>
      <c r="K5" s="11">
        <v>108116</v>
      </c>
      <c r="L5" s="11">
        <v>1461666.76</v>
      </c>
      <c r="M5" s="11">
        <v>4372910</v>
      </c>
      <c r="N5" s="11">
        <v>1584603</v>
      </c>
      <c r="O5" s="11">
        <v>17126596</v>
      </c>
      <c r="P5" s="11">
        <v>21232654</v>
      </c>
      <c r="Q5" s="11">
        <v>5627135</v>
      </c>
      <c r="R5" s="11">
        <v>98403</v>
      </c>
      <c r="S5" s="11">
        <v>631058</v>
      </c>
      <c r="T5" s="11">
        <v>590903</v>
      </c>
      <c r="U5" s="11">
        <v>1009071</v>
      </c>
      <c r="V5" s="11">
        <v>28043703</v>
      </c>
      <c r="W5" s="11">
        <v>14793795</v>
      </c>
      <c r="X5" s="11">
        <v>2240114</v>
      </c>
      <c r="Y5" s="11">
        <v>136259</v>
      </c>
      <c r="Z5" s="11">
        <v>6741710</v>
      </c>
      <c r="AA5" s="11">
        <v>13299</v>
      </c>
      <c r="AB5" s="11">
        <v>110114</v>
      </c>
      <c r="AC5" s="11">
        <v>1466976</v>
      </c>
      <c r="AD5" s="11">
        <v>6585572</v>
      </c>
      <c r="AE5" s="11">
        <v>112.44</v>
      </c>
      <c r="AF5" s="11">
        <v>4436</v>
      </c>
      <c r="AG5" s="11">
        <v>19524439</v>
      </c>
      <c r="AH5" s="39">
        <v>9370072</v>
      </c>
      <c r="AI5" s="11">
        <v>1586874</v>
      </c>
      <c r="AJ5" s="12">
        <f t="shared" ref="AJ5:AJ15" si="0">SUM(B5:AI5)</f>
        <v>192243178.19999999</v>
      </c>
    </row>
    <row r="6" spans="1:36" ht="15" customHeight="1" x14ac:dyDescent="0.25">
      <c r="A6" s="3" t="s">
        <v>110</v>
      </c>
      <c r="B6" s="11"/>
      <c r="C6" s="11"/>
      <c r="D6" s="11"/>
      <c r="E6" s="11"/>
      <c r="F6" s="11"/>
      <c r="G6" s="11">
        <v>52543</v>
      </c>
      <c r="H6" s="11"/>
      <c r="I6" s="11"/>
      <c r="J6" s="11"/>
      <c r="K6" s="11"/>
      <c r="L6" s="11"/>
      <c r="M6" s="11"/>
      <c r="N6" s="11"/>
      <c r="O6" s="11"/>
      <c r="P6" s="11">
        <v>697220</v>
      </c>
      <c r="Q6" s="11"/>
      <c r="R6" s="11"/>
      <c r="S6" s="11"/>
      <c r="T6" s="11">
        <v>713286</v>
      </c>
      <c r="U6" s="11"/>
      <c r="V6" s="11">
        <v>24449148</v>
      </c>
      <c r="W6" s="11">
        <v>676054</v>
      </c>
      <c r="X6" s="11">
        <v>607528</v>
      </c>
      <c r="Y6" s="11"/>
      <c r="Z6" s="11"/>
      <c r="AA6" s="11"/>
      <c r="AB6" s="11"/>
      <c r="AC6" s="11"/>
      <c r="AD6" s="11"/>
      <c r="AE6" s="11"/>
      <c r="AF6" s="11"/>
      <c r="AG6" s="11"/>
      <c r="AH6" s="39">
        <v>5857</v>
      </c>
      <c r="AI6" s="11"/>
      <c r="AJ6" s="12">
        <f t="shared" si="0"/>
        <v>27201636</v>
      </c>
    </row>
    <row r="7" spans="1:36" ht="15" customHeight="1" x14ac:dyDescent="0.25">
      <c r="A7" s="3" t="s">
        <v>111</v>
      </c>
      <c r="B7" s="11">
        <v>156718</v>
      </c>
      <c r="C7" s="11">
        <v>24582</v>
      </c>
      <c r="D7" s="11"/>
      <c r="E7" s="11">
        <v>288593</v>
      </c>
      <c r="F7" s="11">
        <v>8391555</v>
      </c>
      <c r="G7" s="11">
        <v>2257846</v>
      </c>
      <c r="H7" s="11">
        <v>3470187</v>
      </c>
      <c r="I7" s="11">
        <v>26378</v>
      </c>
      <c r="J7" s="11">
        <v>46763</v>
      </c>
      <c r="K7" s="11">
        <v>1873</v>
      </c>
      <c r="L7" s="11">
        <v>2062569.3</v>
      </c>
      <c r="M7" s="11">
        <v>745687</v>
      </c>
      <c r="N7" s="11">
        <v>193127</v>
      </c>
      <c r="O7" s="11">
        <v>4768999</v>
      </c>
      <c r="P7" s="11">
        <v>18909893</v>
      </c>
      <c r="Q7" s="11">
        <v>4657015</v>
      </c>
      <c r="R7" s="11">
        <v>122706</v>
      </c>
      <c r="S7" s="11">
        <v>2239590</v>
      </c>
      <c r="T7" s="11">
        <v>1203944</v>
      </c>
      <c r="U7" s="11">
        <v>79035</v>
      </c>
      <c r="V7" s="11">
        <v>6690328</v>
      </c>
      <c r="W7" s="11">
        <v>7420008</v>
      </c>
      <c r="X7" s="11">
        <v>3593303</v>
      </c>
      <c r="Y7" s="11">
        <v>2765</v>
      </c>
      <c r="Z7" s="11">
        <v>4621952</v>
      </c>
      <c r="AA7" s="11"/>
      <c r="AB7" s="11">
        <v>580500</v>
      </c>
      <c r="AC7" s="11">
        <v>1350710</v>
      </c>
      <c r="AD7" s="11">
        <v>761999</v>
      </c>
      <c r="AE7" s="11">
        <v>2435923.7599999998</v>
      </c>
      <c r="AF7" s="11">
        <v>648937</v>
      </c>
      <c r="AG7" s="11">
        <v>8660833</v>
      </c>
      <c r="AH7" s="39">
        <v>2175039</v>
      </c>
      <c r="AI7" s="11">
        <v>899347</v>
      </c>
      <c r="AJ7" s="12">
        <f t="shared" si="0"/>
        <v>89488705.060000002</v>
      </c>
    </row>
    <row r="8" spans="1:36" ht="15" customHeight="1" x14ac:dyDescent="0.25">
      <c r="A8" s="3" t="s">
        <v>112</v>
      </c>
      <c r="B8" s="11"/>
      <c r="C8" s="11">
        <v>459333</v>
      </c>
      <c r="D8" s="11"/>
      <c r="E8" s="11">
        <v>470598</v>
      </c>
      <c r="F8" s="11">
        <v>2782909</v>
      </c>
      <c r="G8" s="11">
        <v>838234</v>
      </c>
      <c r="H8" s="11">
        <v>1168385</v>
      </c>
      <c r="I8" s="11">
        <v>152448</v>
      </c>
      <c r="J8" s="11">
        <v>33661</v>
      </c>
      <c r="K8" s="11">
        <v>7238</v>
      </c>
      <c r="L8" s="11">
        <v>440849.37</v>
      </c>
      <c r="M8" s="11">
        <v>1239039</v>
      </c>
      <c r="N8" s="11">
        <v>1963545</v>
      </c>
      <c r="O8" s="11">
        <v>2894089</v>
      </c>
      <c r="P8" s="11">
        <v>4810474</v>
      </c>
      <c r="Q8" s="11">
        <v>69228</v>
      </c>
      <c r="R8" s="11">
        <v>96756</v>
      </c>
      <c r="S8" s="11">
        <v>252764</v>
      </c>
      <c r="T8" s="11">
        <v>109297</v>
      </c>
      <c r="U8" s="11">
        <v>51696</v>
      </c>
      <c r="V8" s="11">
        <v>2744704</v>
      </c>
      <c r="W8" s="11">
        <v>8345675</v>
      </c>
      <c r="X8" s="11">
        <v>0</v>
      </c>
      <c r="Y8" s="11">
        <v>5433</v>
      </c>
      <c r="Z8" s="11">
        <v>4390578</v>
      </c>
      <c r="AA8" s="11">
        <v>2060</v>
      </c>
      <c r="AB8" s="11">
        <v>278188</v>
      </c>
      <c r="AC8" s="11">
        <v>87671</v>
      </c>
      <c r="AD8" s="11">
        <v>2015655</v>
      </c>
      <c r="AE8" s="11">
        <v>68749.7</v>
      </c>
      <c r="AF8" s="11">
        <v>62803</v>
      </c>
      <c r="AG8" s="11">
        <v>5900086</v>
      </c>
      <c r="AH8" s="11"/>
      <c r="AI8" s="11">
        <v>9982</v>
      </c>
      <c r="AJ8" s="12">
        <f t="shared" si="0"/>
        <v>41752128.070000008</v>
      </c>
    </row>
    <row r="9" spans="1:36" ht="15" customHeight="1" x14ac:dyDescent="0.25">
      <c r="A9" s="3" t="s">
        <v>113</v>
      </c>
      <c r="B9" s="11">
        <v>574272</v>
      </c>
      <c r="C9" s="11">
        <v>486952</v>
      </c>
      <c r="D9" s="11">
        <v>1607559</v>
      </c>
      <c r="E9" s="11">
        <v>24879</v>
      </c>
      <c r="F9" s="11">
        <v>3177878</v>
      </c>
      <c r="G9" s="11">
        <v>466619</v>
      </c>
      <c r="H9" s="11">
        <v>279644</v>
      </c>
      <c r="I9" s="11">
        <v>74148</v>
      </c>
      <c r="J9" s="11">
        <v>198224</v>
      </c>
      <c r="K9" s="11">
        <v>177118</v>
      </c>
      <c r="L9" s="11">
        <v>224598.55</v>
      </c>
      <c r="M9" s="11">
        <v>935118</v>
      </c>
      <c r="N9" s="11">
        <v>913307</v>
      </c>
      <c r="O9" s="11">
        <v>5612952</v>
      </c>
      <c r="P9" s="11">
        <v>7609905</v>
      </c>
      <c r="Q9" s="11">
        <v>831764</v>
      </c>
      <c r="R9" s="11">
        <v>5006</v>
      </c>
      <c r="S9" s="11">
        <v>466556</v>
      </c>
      <c r="T9" s="11">
        <v>319393</v>
      </c>
      <c r="U9" s="11">
        <v>1224753</v>
      </c>
      <c r="V9" s="11">
        <v>15449898</v>
      </c>
      <c r="W9" s="11">
        <v>17078006</v>
      </c>
      <c r="X9" s="11">
        <v>11404298</v>
      </c>
      <c r="Y9" s="11">
        <v>54639</v>
      </c>
      <c r="Z9" s="11">
        <v>3878160</v>
      </c>
      <c r="AA9" s="11">
        <v>954</v>
      </c>
      <c r="AB9" s="11">
        <v>1290906</v>
      </c>
      <c r="AC9" s="11">
        <v>2296941</v>
      </c>
      <c r="AD9" s="11">
        <v>1273512</v>
      </c>
      <c r="AE9" s="11">
        <v>280954</v>
      </c>
      <c r="AF9" s="11">
        <v>1061120</v>
      </c>
      <c r="AG9" s="11">
        <v>5630908</v>
      </c>
      <c r="AH9" s="39">
        <v>25685675</v>
      </c>
      <c r="AI9" s="11">
        <v>521175</v>
      </c>
      <c r="AJ9" s="12">
        <f t="shared" si="0"/>
        <v>111117791.55</v>
      </c>
    </row>
    <row r="10" spans="1:36" ht="15" customHeight="1" x14ac:dyDescent="0.25">
      <c r="A10" s="3" t="s">
        <v>114</v>
      </c>
      <c r="B10" s="11">
        <v>698</v>
      </c>
      <c r="C10" s="11">
        <v>38000</v>
      </c>
      <c r="D10" s="11"/>
      <c r="E10" s="11">
        <v>170525</v>
      </c>
      <c r="F10" s="11"/>
      <c r="G10" s="11"/>
      <c r="H10" s="11"/>
      <c r="I10" s="11"/>
      <c r="J10" s="11"/>
      <c r="K10" s="11">
        <v>11515</v>
      </c>
      <c r="L10" s="11"/>
      <c r="M10" s="11"/>
      <c r="N10" s="11">
        <v>10844</v>
      </c>
      <c r="O10" s="11">
        <v>74786</v>
      </c>
      <c r="P10" s="11">
        <v>67957</v>
      </c>
      <c r="Q10" s="11"/>
      <c r="R10" s="11">
        <v>23897</v>
      </c>
      <c r="S10" s="11"/>
      <c r="T10" s="11"/>
      <c r="U10" s="11"/>
      <c r="V10" s="11"/>
      <c r="W10" s="11"/>
      <c r="X10" s="11">
        <v>0</v>
      </c>
      <c r="Y10" s="11"/>
      <c r="Z10" s="11"/>
      <c r="AA10" s="11"/>
      <c r="AB10" s="11">
        <v>3526</v>
      </c>
      <c r="AC10" s="11"/>
      <c r="AD10" s="11">
        <v>195123</v>
      </c>
      <c r="AE10" s="11"/>
      <c r="AF10" s="11"/>
      <c r="AG10" s="11"/>
      <c r="AH10" s="11"/>
      <c r="AI10" s="11"/>
      <c r="AJ10" s="12">
        <f t="shared" si="0"/>
        <v>596871</v>
      </c>
    </row>
    <row r="11" spans="1:36" ht="15" customHeight="1" x14ac:dyDescent="0.25">
      <c r="A11" s="3" t="s">
        <v>115</v>
      </c>
      <c r="B11" s="11">
        <v>430275</v>
      </c>
      <c r="C11" s="11">
        <v>644125</v>
      </c>
      <c r="D11" s="11">
        <v>24162781</v>
      </c>
      <c r="E11" s="11"/>
      <c r="F11" s="11">
        <v>73825693</v>
      </c>
      <c r="G11" s="11">
        <v>21028252</v>
      </c>
      <c r="H11" s="11">
        <v>45908643</v>
      </c>
      <c r="I11" s="11">
        <v>610264</v>
      </c>
      <c r="J11" s="11">
        <v>209482</v>
      </c>
      <c r="K11" s="11">
        <v>554287</v>
      </c>
      <c r="L11" s="11">
        <v>60218915.810000002</v>
      </c>
      <c r="M11" s="11">
        <v>20377064</v>
      </c>
      <c r="N11" s="11">
        <v>4536621</v>
      </c>
      <c r="O11" s="11">
        <v>37774130</v>
      </c>
      <c r="P11" s="11">
        <v>169896374</v>
      </c>
      <c r="Q11" s="11">
        <v>45807206</v>
      </c>
      <c r="R11" s="11">
        <v>1638795</v>
      </c>
      <c r="S11" s="11">
        <v>7283878</v>
      </c>
      <c r="T11" s="11">
        <v>8925467</v>
      </c>
      <c r="U11" s="11">
        <v>1127812</v>
      </c>
      <c r="V11" s="11">
        <v>156982983</v>
      </c>
      <c r="W11" s="11">
        <v>238193615</v>
      </c>
      <c r="X11" s="11">
        <v>130511132</v>
      </c>
      <c r="Y11" s="11">
        <v>1699992</v>
      </c>
      <c r="Z11" s="11">
        <v>54520908</v>
      </c>
      <c r="AA11" s="11">
        <v>5736</v>
      </c>
      <c r="AB11" s="11">
        <v>1928047</v>
      </c>
      <c r="AC11" s="11">
        <v>29417663</v>
      </c>
      <c r="AD11" s="11">
        <v>26474182</v>
      </c>
      <c r="AE11" s="11">
        <v>60371859.789999999</v>
      </c>
      <c r="AF11" s="11">
        <v>4184976</v>
      </c>
      <c r="AG11" s="11">
        <v>45373587</v>
      </c>
      <c r="AH11" s="39">
        <v>194442245</v>
      </c>
      <c r="AI11" s="11">
        <v>14303571</v>
      </c>
      <c r="AJ11" s="12">
        <f t="shared" si="0"/>
        <v>1483370561.5999999</v>
      </c>
    </row>
    <row r="12" spans="1:36" ht="15" customHeight="1" x14ac:dyDescent="0.25">
      <c r="A12" s="3" t="s">
        <v>116</v>
      </c>
      <c r="B12" s="11"/>
      <c r="C12" s="11">
        <v>825</v>
      </c>
      <c r="D12" s="11"/>
      <c r="E12" s="11">
        <v>2246420</v>
      </c>
      <c r="F12" s="11"/>
      <c r="G12" s="11"/>
      <c r="H12" s="11"/>
      <c r="I12" s="11"/>
      <c r="J12" s="11"/>
      <c r="K12" s="11"/>
      <c r="L12" s="11">
        <v>198523.75</v>
      </c>
      <c r="M12" s="11"/>
      <c r="N12" s="11"/>
      <c r="O12" s="11">
        <v>3378</v>
      </c>
      <c r="P12" s="11"/>
      <c r="Q12" s="11"/>
      <c r="R12" s="11"/>
      <c r="S12" s="11"/>
      <c r="T12" s="11"/>
      <c r="U12" s="11"/>
      <c r="V12" s="11"/>
      <c r="W12" s="11"/>
      <c r="X12" s="11">
        <v>0</v>
      </c>
      <c r="Y12" s="11"/>
      <c r="Z12" s="11"/>
      <c r="AA12" s="11"/>
      <c r="AB12" s="11"/>
      <c r="AC12" s="11">
        <v>3872</v>
      </c>
      <c r="AD12" s="11"/>
      <c r="AE12" s="11"/>
      <c r="AF12" s="11"/>
      <c r="AG12" s="11">
        <v>2700</v>
      </c>
      <c r="AH12" s="11"/>
      <c r="AI12" s="11"/>
      <c r="AJ12" s="12">
        <f t="shared" si="0"/>
        <v>2455718.75</v>
      </c>
    </row>
    <row r="13" spans="1:36" ht="15" customHeight="1" x14ac:dyDescent="0.25">
      <c r="A13" s="3" t="s">
        <v>117</v>
      </c>
      <c r="B13" s="11"/>
      <c r="C13" s="11"/>
      <c r="D13" s="11">
        <v>917684</v>
      </c>
      <c r="E13" s="11"/>
      <c r="F13" s="11">
        <v>142893</v>
      </c>
      <c r="G13" s="11">
        <v>265064</v>
      </c>
      <c r="H13" s="11">
        <v>58208</v>
      </c>
      <c r="I13" s="11">
        <v>8085</v>
      </c>
      <c r="J13" s="11"/>
      <c r="K13" s="11"/>
      <c r="L13" s="11">
        <v>17256.25</v>
      </c>
      <c r="M13" s="11">
        <v>69230</v>
      </c>
      <c r="N13" s="11"/>
      <c r="O13" s="11">
        <v>226719</v>
      </c>
      <c r="P13" s="11">
        <v>2058185</v>
      </c>
      <c r="Q13" s="11">
        <v>228480</v>
      </c>
      <c r="R13" s="11">
        <v>1075</v>
      </c>
      <c r="S13" s="11">
        <v>17765</v>
      </c>
      <c r="T13" s="11">
        <v>28675</v>
      </c>
      <c r="U13" s="11">
        <v>11844</v>
      </c>
      <c r="V13" s="11">
        <v>1077325</v>
      </c>
      <c r="W13" s="11">
        <v>1806166</v>
      </c>
      <c r="X13" s="11">
        <v>1091141</v>
      </c>
      <c r="Y13" s="11"/>
      <c r="Z13" s="11">
        <v>732578</v>
      </c>
      <c r="AA13" s="11"/>
      <c r="AB13" s="11">
        <v>18253</v>
      </c>
      <c r="AC13" s="11">
        <v>57788</v>
      </c>
      <c r="AD13" s="11">
        <v>47989</v>
      </c>
      <c r="AE13" s="11">
        <v>266210.11</v>
      </c>
      <c r="AF13" s="11">
        <v>66081</v>
      </c>
      <c r="AG13" s="11">
        <v>275496</v>
      </c>
      <c r="AH13">
        <v>1799341</v>
      </c>
      <c r="AI13" s="11">
        <v>30054</v>
      </c>
      <c r="AJ13" s="12">
        <f t="shared" si="0"/>
        <v>11319585.359999999</v>
      </c>
    </row>
    <row r="14" spans="1:36" x14ac:dyDescent="0.25">
      <c r="A14" s="3" t="s">
        <v>46</v>
      </c>
      <c r="B14" s="11">
        <f>B15-B13-B12-B11-B10-B9-B8-B7-B6-B5-B4</f>
        <v>90683</v>
      </c>
      <c r="C14" s="11">
        <f t="shared" ref="C14:AI14" si="1">C15-C13-C12-C11-C10-C9-C8-C7-C6-C5-C4</f>
        <v>270962</v>
      </c>
      <c r="D14" s="11">
        <f t="shared" si="1"/>
        <v>49326836</v>
      </c>
      <c r="E14" s="11">
        <f t="shared" si="1"/>
        <v>1011264</v>
      </c>
      <c r="F14" s="11">
        <f t="shared" si="1"/>
        <v>5377634</v>
      </c>
      <c r="G14" s="11">
        <f t="shared" si="1"/>
        <v>3217269</v>
      </c>
      <c r="H14" s="11">
        <f t="shared" si="1"/>
        <v>1939220</v>
      </c>
      <c r="I14" s="11">
        <f t="shared" si="1"/>
        <v>624351</v>
      </c>
      <c r="J14" s="11">
        <f t="shared" si="1"/>
        <v>14990</v>
      </c>
      <c r="K14" s="11">
        <f t="shared" si="1"/>
        <v>18829</v>
      </c>
      <c r="L14" s="11">
        <f t="shared" si="1"/>
        <v>191142.34000000032</v>
      </c>
      <c r="M14" s="11">
        <f t="shared" si="1"/>
        <v>520566</v>
      </c>
      <c r="N14" s="11">
        <f t="shared" si="1"/>
        <v>404807</v>
      </c>
      <c r="O14" s="11">
        <f t="shared" si="1"/>
        <v>350394</v>
      </c>
      <c r="P14" s="11">
        <f t="shared" si="1"/>
        <v>3023341</v>
      </c>
      <c r="Q14" s="11">
        <f t="shared" si="1"/>
        <v>1119899</v>
      </c>
      <c r="R14" s="11">
        <f t="shared" si="1"/>
        <v>236123</v>
      </c>
      <c r="S14" s="11">
        <f t="shared" si="1"/>
        <v>480112</v>
      </c>
      <c r="T14" s="11">
        <f t="shared" si="1"/>
        <v>289971</v>
      </c>
      <c r="U14" s="11">
        <f t="shared" si="1"/>
        <v>134904</v>
      </c>
      <c r="V14" s="11">
        <f t="shared" si="1"/>
        <v>7488886</v>
      </c>
      <c r="W14" s="11">
        <f t="shared" si="1"/>
        <v>785734</v>
      </c>
      <c r="X14" s="11">
        <f t="shared" si="1"/>
        <v>10323</v>
      </c>
      <c r="Y14" s="11">
        <f t="shared" si="1"/>
        <v>22916</v>
      </c>
      <c r="Z14" s="11">
        <f t="shared" si="1"/>
        <v>1889873</v>
      </c>
      <c r="AA14" s="11">
        <f t="shared" si="1"/>
        <v>84371</v>
      </c>
      <c r="AB14" s="11">
        <f t="shared" si="1"/>
        <v>426398</v>
      </c>
      <c r="AC14" s="11">
        <f t="shared" si="1"/>
        <v>578455</v>
      </c>
      <c r="AD14" s="11">
        <f t="shared" si="1"/>
        <v>668248</v>
      </c>
      <c r="AE14" s="11">
        <f t="shared" si="1"/>
        <v>889326.53000000154</v>
      </c>
      <c r="AF14" s="11">
        <f t="shared" si="1"/>
        <v>1136676</v>
      </c>
      <c r="AG14" s="11">
        <f t="shared" si="1"/>
        <v>458432</v>
      </c>
      <c r="AH14" s="11">
        <f t="shared" si="1"/>
        <v>1330</v>
      </c>
      <c r="AI14" s="11">
        <f t="shared" si="1"/>
        <v>53234</v>
      </c>
      <c r="AJ14" s="12">
        <f t="shared" si="0"/>
        <v>83137499.870000005</v>
      </c>
    </row>
    <row r="15" spans="1:36" s="9" customFormat="1" x14ac:dyDescent="0.25">
      <c r="A15" s="4" t="s">
        <v>57</v>
      </c>
      <c r="B15" s="12">
        <v>1543792</v>
      </c>
      <c r="C15" s="12">
        <v>2088144</v>
      </c>
      <c r="D15" s="12">
        <v>102603584</v>
      </c>
      <c r="E15" s="12">
        <v>4387733</v>
      </c>
      <c r="F15" s="12">
        <v>109029764</v>
      </c>
      <c r="G15" s="12">
        <v>32362756</v>
      </c>
      <c r="H15" s="12">
        <v>55374053</v>
      </c>
      <c r="I15" s="12">
        <v>1570845</v>
      </c>
      <c r="J15" s="12">
        <v>763362</v>
      </c>
      <c r="K15" s="12">
        <v>879928</v>
      </c>
      <c r="L15" s="12">
        <v>64815522.130000003</v>
      </c>
      <c r="M15" s="12">
        <v>28348249</v>
      </c>
      <c r="N15" s="12">
        <v>9699745</v>
      </c>
      <c r="O15" s="12">
        <v>69103669</v>
      </c>
      <c r="P15" s="12">
        <v>228421128</v>
      </c>
      <c r="Q15" s="12">
        <v>58865508</v>
      </c>
      <c r="R15" s="12">
        <v>2244084</v>
      </c>
      <c r="S15" s="12">
        <v>11570716</v>
      </c>
      <c r="T15" s="12">
        <v>12209420</v>
      </c>
      <c r="U15" s="12">
        <v>3727145</v>
      </c>
      <c r="V15" s="12">
        <v>244347155</v>
      </c>
      <c r="W15" s="12">
        <v>291044431</v>
      </c>
      <c r="X15" s="12">
        <v>150337653</v>
      </c>
      <c r="Y15" s="12">
        <v>1933973</v>
      </c>
      <c r="Z15" s="12">
        <v>77033753</v>
      </c>
      <c r="AA15" s="12">
        <v>107150</v>
      </c>
      <c r="AB15" s="12">
        <v>4776643</v>
      </c>
      <c r="AC15" s="12">
        <v>35572208</v>
      </c>
      <c r="AD15" s="12">
        <v>38370800</v>
      </c>
      <c r="AE15" s="12">
        <v>64403574</v>
      </c>
      <c r="AF15" s="12">
        <v>7273278</v>
      </c>
      <c r="AG15" s="12">
        <v>86886912</v>
      </c>
      <c r="AH15" s="12">
        <v>234632381</v>
      </c>
      <c r="AI15" s="12">
        <v>17503521</v>
      </c>
      <c r="AJ15" s="12">
        <f t="shared" si="0"/>
        <v>2053832579.1300001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9" bestFit="1" customWidth="1"/>
    <col min="2" max="5" width="12.85546875" style="59" customWidth="1"/>
    <col min="6" max="6" width="12.85546875" style="63" customWidth="1"/>
    <col min="7" max="10" width="12.85546875" style="59" customWidth="1"/>
    <col min="11" max="11" width="12.85546875" style="63" customWidth="1"/>
    <col min="12" max="20" width="12.85546875" style="59" customWidth="1"/>
    <col min="21" max="21" width="12.85546875" style="63" customWidth="1"/>
    <col min="22" max="35" width="12.85546875" style="59" customWidth="1"/>
    <col min="36" max="36" width="12.85546875" style="63" customWidth="1"/>
    <col min="37" max="37" width="12.85546875" style="8" customWidth="1"/>
    <col min="38" max="40" width="12.85546875" style="59" customWidth="1"/>
    <col min="41" max="41" width="12.85546875" style="63" customWidth="1"/>
    <col min="42" max="90" width="12.85546875" style="59" customWidth="1"/>
    <col min="91" max="91" width="12.85546875" style="63" customWidth="1"/>
    <col min="92" max="95" width="12.85546875" style="59" customWidth="1"/>
    <col min="96" max="96" width="12.85546875" style="63" customWidth="1"/>
    <col min="97" max="100" width="12.85546875" style="59" customWidth="1"/>
    <col min="101" max="101" width="12.85546875" style="63" customWidth="1"/>
    <col min="102" max="110" width="12.85546875" style="59" customWidth="1"/>
    <col min="111" max="111" width="12.85546875" style="63" customWidth="1"/>
    <col min="112" max="125" width="12.85546875" style="59" customWidth="1"/>
    <col min="126" max="131" width="12.85546875" style="63" customWidth="1"/>
    <col min="132" max="150" width="12.85546875" style="59" customWidth="1"/>
    <col min="151" max="151" width="12.85546875" style="63" customWidth="1"/>
    <col min="152" max="155" width="12.85546875" style="59" customWidth="1"/>
    <col min="156" max="156" width="12.85546875" style="63" customWidth="1"/>
    <col min="157" max="160" width="12.85546875" style="59" customWidth="1"/>
    <col min="161" max="161" width="12.85546875" style="63" customWidth="1"/>
    <col min="162" max="162" width="12.85546875" style="8" customWidth="1"/>
    <col min="163" max="165" width="12.85546875" style="59" customWidth="1"/>
    <col min="166" max="166" width="12.85546875" style="63" customWidth="1"/>
    <col min="167" max="170" width="12.85546875" style="59" customWidth="1"/>
    <col min="171" max="171" width="12.85546875" style="63" customWidth="1"/>
    <col min="172" max="16384" width="9.140625" style="59"/>
  </cols>
  <sheetData>
    <row r="1" spans="1:171" ht="34.5" x14ac:dyDescent="0.25">
      <c r="A1" s="75" t="s">
        <v>297</v>
      </c>
    </row>
    <row r="2" spans="1:171" x14ac:dyDescent="0.25">
      <c r="A2" s="60" t="s">
        <v>0</v>
      </c>
      <c r="B2" s="85" t="s">
        <v>1</v>
      </c>
      <c r="C2" s="85"/>
      <c r="D2" s="85"/>
      <c r="E2" s="85"/>
      <c r="F2" s="85"/>
      <c r="G2" s="85" t="s">
        <v>2</v>
      </c>
      <c r="H2" s="85"/>
      <c r="I2" s="85"/>
      <c r="J2" s="85"/>
      <c r="K2" s="85"/>
      <c r="L2" s="85" t="s">
        <v>3</v>
      </c>
      <c r="M2" s="85"/>
      <c r="N2" s="85"/>
      <c r="O2" s="85"/>
      <c r="P2" s="85"/>
      <c r="Q2" s="85" t="s">
        <v>4</v>
      </c>
      <c r="R2" s="85"/>
      <c r="S2" s="85"/>
      <c r="T2" s="85"/>
      <c r="U2" s="85"/>
      <c r="V2" s="85" t="s">
        <v>5</v>
      </c>
      <c r="W2" s="85"/>
      <c r="X2" s="85"/>
      <c r="Y2" s="85"/>
      <c r="Z2" s="85"/>
      <c r="AA2" s="85" t="s">
        <v>6</v>
      </c>
      <c r="AB2" s="85"/>
      <c r="AC2" s="85"/>
      <c r="AD2" s="85"/>
      <c r="AE2" s="85"/>
      <c r="AF2" s="85" t="s">
        <v>7</v>
      </c>
      <c r="AG2" s="85"/>
      <c r="AH2" s="85"/>
      <c r="AI2" s="85"/>
      <c r="AJ2" s="85"/>
      <c r="AK2" s="85" t="s">
        <v>8</v>
      </c>
      <c r="AL2" s="85"/>
      <c r="AM2" s="85"/>
      <c r="AN2" s="85"/>
      <c r="AO2" s="85"/>
      <c r="AP2" s="85" t="s">
        <v>9</v>
      </c>
      <c r="AQ2" s="85"/>
      <c r="AR2" s="85"/>
      <c r="AS2" s="85"/>
      <c r="AT2" s="85"/>
      <c r="AU2" s="85" t="s">
        <v>10</v>
      </c>
      <c r="AV2" s="85"/>
      <c r="AW2" s="85"/>
      <c r="AX2" s="85"/>
      <c r="AY2" s="85"/>
      <c r="AZ2" s="85" t="s">
        <v>11</v>
      </c>
      <c r="BA2" s="85"/>
      <c r="BB2" s="85"/>
      <c r="BC2" s="85"/>
      <c r="BD2" s="85"/>
      <c r="BE2" s="85" t="s">
        <v>12</v>
      </c>
      <c r="BF2" s="85"/>
      <c r="BG2" s="85"/>
      <c r="BH2" s="85"/>
      <c r="BI2" s="85"/>
      <c r="BJ2" s="85" t="s">
        <v>13</v>
      </c>
      <c r="BK2" s="85"/>
      <c r="BL2" s="85"/>
      <c r="BM2" s="85"/>
      <c r="BN2" s="85"/>
      <c r="BO2" s="85" t="s">
        <v>14</v>
      </c>
      <c r="BP2" s="85"/>
      <c r="BQ2" s="85"/>
      <c r="BR2" s="85"/>
      <c r="BS2" s="85"/>
      <c r="BT2" s="85" t="s">
        <v>15</v>
      </c>
      <c r="BU2" s="85"/>
      <c r="BV2" s="85"/>
      <c r="BW2" s="85"/>
      <c r="BX2" s="85"/>
      <c r="BY2" s="85" t="s">
        <v>16</v>
      </c>
      <c r="BZ2" s="85"/>
      <c r="CA2" s="85"/>
      <c r="CB2" s="85"/>
      <c r="CC2" s="85"/>
      <c r="CD2" s="85" t="s">
        <v>17</v>
      </c>
      <c r="CE2" s="85"/>
      <c r="CF2" s="85"/>
      <c r="CG2" s="85"/>
      <c r="CH2" s="85"/>
      <c r="CI2" s="85" t="s">
        <v>18</v>
      </c>
      <c r="CJ2" s="85"/>
      <c r="CK2" s="85"/>
      <c r="CL2" s="85"/>
      <c r="CM2" s="85"/>
      <c r="CN2" s="85" t="s">
        <v>19</v>
      </c>
      <c r="CO2" s="85"/>
      <c r="CP2" s="85"/>
      <c r="CQ2" s="85"/>
      <c r="CR2" s="85"/>
      <c r="CS2" s="85" t="s">
        <v>20</v>
      </c>
      <c r="CT2" s="85"/>
      <c r="CU2" s="85"/>
      <c r="CV2" s="85"/>
      <c r="CW2" s="85"/>
      <c r="CX2" s="85" t="s">
        <v>21</v>
      </c>
      <c r="CY2" s="85"/>
      <c r="CZ2" s="85"/>
      <c r="DA2" s="85"/>
      <c r="DB2" s="85"/>
      <c r="DC2" s="85" t="s">
        <v>22</v>
      </c>
      <c r="DD2" s="85"/>
      <c r="DE2" s="85"/>
      <c r="DF2" s="85"/>
      <c r="DG2" s="85"/>
      <c r="DH2" s="85" t="s">
        <v>23</v>
      </c>
      <c r="DI2" s="85"/>
      <c r="DJ2" s="85"/>
      <c r="DK2" s="85"/>
      <c r="DL2" s="85"/>
      <c r="DM2" s="85" t="s">
        <v>24</v>
      </c>
      <c r="DN2" s="85"/>
      <c r="DO2" s="85"/>
      <c r="DP2" s="85"/>
      <c r="DQ2" s="85"/>
      <c r="DR2" s="85" t="s">
        <v>25</v>
      </c>
      <c r="DS2" s="85"/>
      <c r="DT2" s="85"/>
      <c r="DU2" s="85"/>
      <c r="DV2" s="85"/>
      <c r="DW2" s="85" t="s">
        <v>26</v>
      </c>
      <c r="DX2" s="85"/>
      <c r="DY2" s="85"/>
      <c r="DZ2" s="85"/>
      <c r="EA2" s="85"/>
      <c r="EB2" s="85" t="s">
        <v>27</v>
      </c>
      <c r="EC2" s="85"/>
      <c r="ED2" s="85"/>
      <c r="EE2" s="85"/>
      <c r="EF2" s="85"/>
      <c r="EG2" s="85" t="s">
        <v>28</v>
      </c>
      <c r="EH2" s="85"/>
      <c r="EI2" s="85"/>
      <c r="EJ2" s="85"/>
      <c r="EK2" s="85"/>
      <c r="EL2" s="85" t="s">
        <v>29</v>
      </c>
      <c r="EM2" s="85"/>
      <c r="EN2" s="85"/>
      <c r="EO2" s="85"/>
      <c r="EP2" s="85"/>
      <c r="EQ2" s="85" t="s">
        <v>30</v>
      </c>
      <c r="ER2" s="85"/>
      <c r="ES2" s="85"/>
      <c r="ET2" s="85"/>
      <c r="EU2" s="85"/>
      <c r="EV2" s="85" t="s">
        <v>31</v>
      </c>
      <c r="EW2" s="85"/>
      <c r="EX2" s="85"/>
      <c r="EY2" s="85"/>
      <c r="EZ2" s="85"/>
      <c r="FA2" s="85" t="s">
        <v>32</v>
      </c>
      <c r="FB2" s="85"/>
      <c r="FC2" s="85"/>
      <c r="FD2" s="85"/>
      <c r="FE2" s="85"/>
      <c r="FF2" s="85" t="s">
        <v>33</v>
      </c>
      <c r="FG2" s="85"/>
      <c r="FH2" s="85"/>
      <c r="FI2" s="85"/>
      <c r="FJ2" s="85"/>
      <c r="FK2" s="85" t="s">
        <v>34</v>
      </c>
      <c r="FL2" s="85"/>
      <c r="FM2" s="85"/>
      <c r="FN2" s="85"/>
      <c r="FO2" s="85"/>
    </row>
    <row r="3" spans="1:171" x14ac:dyDescent="0.25">
      <c r="A3" s="86" t="s">
        <v>189</v>
      </c>
      <c r="B3" s="86" t="s">
        <v>183</v>
      </c>
      <c r="C3" s="86" t="s">
        <v>184</v>
      </c>
      <c r="D3" s="86"/>
      <c r="E3" s="86"/>
      <c r="F3" s="87" t="s">
        <v>185</v>
      </c>
      <c r="G3" s="86" t="s">
        <v>183</v>
      </c>
      <c r="H3" s="86" t="s">
        <v>184</v>
      </c>
      <c r="I3" s="86"/>
      <c r="J3" s="86"/>
      <c r="K3" s="87" t="s">
        <v>185</v>
      </c>
      <c r="L3" s="86" t="s">
        <v>183</v>
      </c>
      <c r="M3" s="86" t="s">
        <v>184</v>
      </c>
      <c r="N3" s="86"/>
      <c r="O3" s="86"/>
      <c r="P3" s="86" t="s">
        <v>185</v>
      </c>
      <c r="Q3" s="86" t="s">
        <v>183</v>
      </c>
      <c r="R3" s="86" t="s">
        <v>184</v>
      </c>
      <c r="S3" s="86"/>
      <c r="T3" s="86"/>
      <c r="U3" s="87" t="s">
        <v>185</v>
      </c>
      <c r="V3" s="86" t="s">
        <v>183</v>
      </c>
      <c r="W3" s="86" t="s">
        <v>184</v>
      </c>
      <c r="X3" s="86"/>
      <c r="Y3" s="86"/>
      <c r="Z3" s="86" t="s">
        <v>185</v>
      </c>
      <c r="AA3" s="86" t="s">
        <v>183</v>
      </c>
      <c r="AB3" s="86" t="s">
        <v>184</v>
      </c>
      <c r="AC3" s="86"/>
      <c r="AD3" s="86"/>
      <c r="AE3" s="86" t="s">
        <v>185</v>
      </c>
      <c r="AF3" s="86" t="s">
        <v>183</v>
      </c>
      <c r="AG3" s="86" t="s">
        <v>184</v>
      </c>
      <c r="AH3" s="86"/>
      <c r="AI3" s="86"/>
      <c r="AJ3" s="87" t="s">
        <v>185</v>
      </c>
      <c r="AK3" s="88" t="s">
        <v>183</v>
      </c>
      <c r="AL3" s="86" t="s">
        <v>184</v>
      </c>
      <c r="AM3" s="86"/>
      <c r="AN3" s="86"/>
      <c r="AO3" s="87" t="s">
        <v>185</v>
      </c>
      <c r="AP3" s="86" t="s">
        <v>183</v>
      </c>
      <c r="AQ3" s="86" t="s">
        <v>184</v>
      </c>
      <c r="AR3" s="86"/>
      <c r="AS3" s="86"/>
      <c r="AT3" s="86" t="s">
        <v>185</v>
      </c>
      <c r="AU3" s="86" t="s">
        <v>183</v>
      </c>
      <c r="AV3" s="86" t="s">
        <v>184</v>
      </c>
      <c r="AW3" s="86"/>
      <c r="AX3" s="86"/>
      <c r="AY3" s="86" t="s">
        <v>185</v>
      </c>
      <c r="AZ3" s="86" t="s">
        <v>183</v>
      </c>
      <c r="BA3" s="86" t="s">
        <v>184</v>
      </c>
      <c r="BB3" s="86"/>
      <c r="BC3" s="86"/>
      <c r="BD3" s="86" t="s">
        <v>185</v>
      </c>
      <c r="BE3" s="86" t="s">
        <v>183</v>
      </c>
      <c r="BF3" s="86" t="s">
        <v>184</v>
      </c>
      <c r="BG3" s="86"/>
      <c r="BH3" s="86"/>
      <c r="BI3" s="86" t="s">
        <v>185</v>
      </c>
      <c r="BJ3" s="86" t="s">
        <v>183</v>
      </c>
      <c r="BK3" s="86" t="s">
        <v>184</v>
      </c>
      <c r="BL3" s="86"/>
      <c r="BM3" s="86"/>
      <c r="BN3" s="86" t="s">
        <v>185</v>
      </c>
      <c r="BO3" s="86" t="s">
        <v>183</v>
      </c>
      <c r="BP3" s="86" t="s">
        <v>184</v>
      </c>
      <c r="BQ3" s="86"/>
      <c r="BR3" s="86"/>
      <c r="BS3" s="86" t="s">
        <v>185</v>
      </c>
      <c r="BT3" s="86" t="s">
        <v>183</v>
      </c>
      <c r="BU3" s="86" t="s">
        <v>184</v>
      </c>
      <c r="BV3" s="86"/>
      <c r="BW3" s="86"/>
      <c r="BX3" s="86" t="s">
        <v>185</v>
      </c>
      <c r="BY3" s="86" t="s">
        <v>183</v>
      </c>
      <c r="BZ3" s="86" t="s">
        <v>184</v>
      </c>
      <c r="CA3" s="86"/>
      <c r="CB3" s="86"/>
      <c r="CC3" s="86" t="s">
        <v>185</v>
      </c>
      <c r="CD3" s="86" t="s">
        <v>183</v>
      </c>
      <c r="CE3" s="86" t="s">
        <v>184</v>
      </c>
      <c r="CF3" s="86"/>
      <c r="CG3" s="86"/>
      <c r="CH3" s="86" t="s">
        <v>185</v>
      </c>
      <c r="CI3" s="86" t="s">
        <v>183</v>
      </c>
      <c r="CJ3" s="86" t="s">
        <v>184</v>
      </c>
      <c r="CK3" s="86"/>
      <c r="CL3" s="86"/>
      <c r="CM3" s="87" t="s">
        <v>185</v>
      </c>
      <c r="CN3" s="86" t="s">
        <v>183</v>
      </c>
      <c r="CO3" s="86" t="s">
        <v>184</v>
      </c>
      <c r="CP3" s="86"/>
      <c r="CQ3" s="86"/>
      <c r="CR3" s="87" t="s">
        <v>185</v>
      </c>
      <c r="CS3" s="86" t="s">
        <v>183</v>
      </c>
      <c r="CT3" s="86" t="s">
        <v>184</v>
      </c>
      <c r="CU3" s="86"/>
      <c r="CV3" s="86"/>
      <c r="CW3" s="87" t="s">
        <v>185</v>
      </c>
      <c r="CX3" s="86" t="s">
        <v>183</v>
      </c>
      <c r="CY3" s="86" t="s">
        <v>184</v>
      </c>
      <c r="CZ3" s="86"/>
      <c r="DA3" s="86"/>
      <c r="DB3" s="89" t="s">
        <v>185</v>
      </c>
      <c r="DC3" s="86" t="s">
        <v>183</v>
      </c>
      <c r="DD3" s="86" t="s">
        <v>184</v>
      </c>
      <c r="DE3" s="86"/>
      <c r="DF3" s="86"/>
      <c r="DG3" s="87" t="s">
        <v>185</v>
      </c>
      <c r="DH3" s="86" t="s">
        <v>183</v>
      </c>
      <c r="DI3" s="86" t="s">
        <v>184</v>
      </c>
      <c r="DJ3" s="86"/>
      <c r="DK3" s="86"/>
      <c r="DL3" s="89" t="s">
        <v>185</v>
      </c>
      <c r="DM3" s="86" t="s">
        <v>183</v>
      </c>
      <c r="DN3" s="86" t="s">
        <v>184</v>
      </c>
      <c r="DO3" s="86"/>
      <c r="DP3" s="86"/>
      <c r="DQ3" s="89" t="s">
        <v>185</v>
      </c>
      <c r="DR3" s="86" t="s">
        <v>183</v>
      </c>
      <c r="DS3" s="86" t="s">
        <v>184</v>
      </c>
      <c r="DT3" s="86"/>
      <c r="DU3" s="86"/>
      <c r="DV3" s="87" t="s">
        <v>185</v>
      </c>
      <c r="DW3" s="86" t="s">
        <v>183</v>
      </c>
      <c r="DX3" s="86" t="s">
        <v>184</v>
      </c>
      <c r="DY3" s="86"/>
      <c r="DZ3" s="86"/>
      <c r="EA3" s="87" t="s">
        <v>185</v>
      </c>
      <c r="EB3" s="86" t="s">
        <v>183</v>
      </c>
      <c r="EC3" s="86" t="s">
        <v>184</v>
      </c>
      <c r="ED3" s="86"/>
      <c r="EE3" s="86"/>
      <c r="EF3" s="89" t="s">
        <v>185</v>
      </c>
      <c r="EG3" s="86" t="s">
        <v>183</v>
      </c>
      <c r="EH3" s="86" t="s">
        <v>184</v>
      </c>
      <c r="EI3" s="86"/>
      <c r="EJ3" s="86"/>
      <c r="EK3" s="89" t="s">
        <v>185</v>
      </c>
      <c r="EL3" s="86" t="s">
        <v>183</v>
      </c>
      <c r="EM3" s="86" t="s">
        <v>184</v>
      </c>
      <c r="EN3" s="86"/>
      <c r="EO3" s="86"/>
      <c r="EP3" s="89" t="s">
        <v>185</v>
      </c>
      <c r="EQ3" s="86" t="s">
        <v>183</v>
      </c>
      <c r="ER3" s="86" t="s">
        <v>184</v>
      </c>
      <c r="ES3" s="86"/>
      <c r="ET3" s="86"/>
      <c r="EU3" s="87" t="s">
        <v>185</v>
      </c>
      <c r="EV3" s="86" t="s">
        <v>183</v>
      </c>
      <c r="EW3" s="86" t="s">
        <v>184</v>
      </c>
      <c r="EX3" s="86"/>
      <c r="EY3" s="86"/>
      <c r="EZ3" s="87" t="s">
        <v>185</v>
      </c>
      <c r="FA3" s="86" t="s">
        <v>183</v>
      </c>
      <c r="FB3" s="86" t="s">
        <v>184</v>
      </c>
      <c r="FC3" s="86"/>
      <c r="FD3" s="86"/>
      <c r="FE3" s="87" t="s">
        <v>185</v>
      </c>
      <c r="FF3" s="88" t="s">
        <v>183</v>
      </c>
      <c r="FG3" s="86" t="s">
        <v>184</v>
      </c>
      <c r="FH3" s="86"/>
      <c r="FI3" s="86"/>
      <c r="FJ3" s="87" t="s">
        <v>185</v>
      </c>
      <c r="FK3" s="86" t="s">
        <v>183</v>
      </c>
      <c r="FL3" s="86" t="s">
        <v>184</v>
      </c>
      <c r="FM3" s="86"/>
      <c r="FN3" s="86"/>
      <c r="FO3" s="87" t="s">
        <v>185</v>
      </c>
    </row>
    <row r="4" spans="1:171" ht="30" x14ac:dyDescent="0.25">
      <c r="A4" s="86"/>
      <c r="B4" s="86"/>
      <c r="C4" s="25" t="s">
        <v>186</v>
      </c>
      <c r="D4" s="25" t="s">
        <v>187</v>
      </c>
      <c r="E4" s="25" t="s">
        <v>188</v>
      </c>
      <c r="F4" s="87"/>
      <c r="G4" s="86"/>
      <c r="H4" s="25" t="s">
        <v>186</v>
      </c>
      <c r="I4" s="25" t="s">
        <v>187</v>
      </c>
      <c r="J4" s="25" t="s">
        <v>188</v>
      </c>
      <c r="K4" s="87"/>
      <c r="L4" s="86"/>
      <c r="M4" s="25" t="s">
        <v>186</v>
      </c>
      <c r="N4" s="25" t="s">
        <v>187</v>
      </c>
      <c r="O4" s="25" t="s">
        <v>188</v>
      </c>
      <c r="P4" s="86"/>
      <c r="Q4" s="86"/>
      <c r="R4" s="25" t="s">
        <v>186</v>
      </c>
      <c r="S4" s="25" t="s">
        <v>187</v>
      </c>
      <c r="T4" s="25" t="s">
        <v>188</v>
      </c>
      <c r="U4" s="87"/>
      <c r="V4" s="86"/>
      <c r="W4" s="25" t="s">
        <v>186</v>
      </c>
      <c r="X4" s="25" t="s">
        <v>187</v>
      </c>
      <c r="Y4" s="25" t="s">
        <v>188</v>
      </c>
      <c r="Z4" s="86"/>
      <c r="AA4" s="86"/>
      <c r="AB4" s="25" t="s">
        <v>186</v>
      </c>
      <c r="AC4" s="25" t="s">
        <v>187</v>
      </c>
      <c r="AD4" s="25" t="s">
        <v>188</v>
      </c>
      <c r="AE4" s="86"/>
      <c r="AF4" s="86"/>
      <c r="AG4" s="25" t="s">
        <v>186</v>
      </c>
      <c r="AH4" s="25" t="s">
        <v>187</v>
      </c>
      <c r="AI4" s="25" t="s">
        <v>188</v>
      </c>
      <c r="AJ4" s="87"/>
      <c r="AK4" s="88"/>
      <c r="AL4" s="25" t="s">
        <v>186</v>
      </c>
      <c r="AM4" s="25" t="s">
        <v>187</v>
      </c>
      <c r="AN4" s="25" t="s">
        <v>188</v>
      </c>
      <c r="AO4" s="87"/>
      <c r="AP4" s="86"/>
      <c r="AQ4" s="25" t="s">
        <v>186</v>
      </c>
      <c r="AR4" s="25" t="s">
        <v>187</v>
      </c>
      <c r="AS4" s="25" t="s">
        <v>188</v>
      </c>
      <c r="AT4" s="86"/>
      <c r="AU4" s="86"/>
      <c r="AV4" s="25" t="s">
        <v>186</v>
      </c>
      <c r="AW4" s="25" t="s">
        <v>187</v>
      </c>
      <c r="AX4" s="25" t="s">
        <v>188</v>
      </c>
      <c r="AY4" s="86"/>
      <c r="AZ4" s="86"/>
      <c r="BA4" s="25" t="s">
        <v>186</v>
      </c>
      <c r="BB4" s="25" t="s">
        <v>187</v>
      </c>
      <c r="BC4" s="25" t="s">
        <v>188</v>
      </c>
      <c r="BD4" s="86"/>
      <c r="BE4" s="86"/>
      <c r="BF4" s="25" t="s">
        <v>186</v>
      </c>
      <c r="BG4" s="25" t="s">
        <v>187</v>
      </c>
      <c r="BH4" s="25" t="s">
        <v>188</v>
      </c>
      <c r="BI4" s="86"/>
      <c r="BJ4" s="86"/>
      <c r="BK4" s="25" t="s">
        <v>186</v>
      </c>
      <c r="BL4" s="25" t="s">
        <v>187</v>
      </c>
      <c r="BM4" s="25" t="s">
        <v>188</v>
      </c>
      <c r="BN4" s="86"/>
      <c r="BO4" s="86"/>
      <c r="BP4" s="25" t="s">
        <v>186</v>
      </c>
      <c r="BQ4" s="25" t="s">
        <v>187</v>
      </c>
      <c r="BR4" s="25" t="s">
        <v>188</v>
      </c>
      <c r="BS4" s="86"/>
      <c r="BT4" s="86"/>
      <c r="BU4" s="25" t="s">
        <v>186</v>
      </c>
      <c r="BV4" s="25" t="s">
        <v>187</v>
      </c>
      <c r="BW4" s="25" t="s">
        <v>188</v>
      </c>
      <c r="BX4" s="86"/>
      <c r="BY4" s="86"/>
      <c r="BZ4" s="25" t="s">
        <v>186</v>
      </c>
      <c r="CA4" s="25" t="s">
        <v>187</v>
      </c>
      <c r="CB4" s="25" t="s">
        <v>188</v>
      </c>
      <c r="CC4" s="86"/>
      <c r="CD4" s="86"/>
      <c r="CE4" s="25" t="s">
        <v>186</v>
      </c>
      <c r="CF4" s="25" t="s">
        <v>187</v>
      </c>
      <c r="CG4" s="25" t="s">
        <v>188</v>
      </c>
      <c r="CH4" s="86"/>
      <c r="CI4" s="86"/>
      <c r="CJ4" s="25" t="s">
        <v>186</v>
      </c>
      <c r="CK4" s="25" t="s">
        <v>187</v>
      </c>
      <c r="CL4" s="25" t="s">
        <v>188</v>
      </c>
      <c r="CM4" s="87"/>
      <c r="CN4" s="86"/>
      <c r="CO4" s="25" t="s">
        <v>186</v>
      </c>
      <c r="CP4" s="25" t="s">
        <v>187</v>
      </c>
      <c r="CQ4" s="25" t="s">
        <v>188</v>
      </c>
      <c r="CR4" s="87"/>
      <c r="CS4" s="86"/>
      <c r="CT4" s="25" t="s">
        <v>186</v>
      </c>
      <c r="CU4" s="25" t="s">
        <v>187</v>
      </c>
      <c r="CV4" s="25" t="s">
        <v>188</v>
      </c>
      <c r="CW4" s="87"/>
      <c r="CX4" s="86"/>
      <c r="CY4" s="25" t="s">
        <v>186</v>
      </c>
      <c r="CZ4" s="25" t="s">
        <v>187</v>
      </c>
      <c r="DA4" s="25" t="s">
        <v>188</v>
      </c>
      <c r="DB4" s="89"/>
      <c r="DC4" s="86"/>
      <c r="DD4" s="25" t="s">
        <v>186</v>
      </c>
      <c r="DE4" s="25" t="s">
        <v>187</v>
      </c>
      <c r="DF4" s="25" t="s">
        <v>188</v>
      </c>
      <c r="DG4" s="87"/>
      <c r="DH4" s="86"/>
      <c r="DI4" s="25" t="s">
        <v>186</v>
      </c>
      <c r="DJ4" s="25" t="s">
        <v>187</v>
      </c>
      <c r="DK4" s="25" t="s">
        <v>188</v>
      </c>
      <c r="DL4" s="89"/>
      <c r="DM4" s="86"/>
      <c r="DN4" s="25" t="s">
        <v>186</v>
      </c>
      <c r="DO4" s="25" t="s">
        <v>187</v>
      </c>
      <c r="DP4" s="25" t="s">
        <v>188</v>
      </c>
      <c r="DQ4" s="89"/>
      <c r="DR4" s="86"/>
      <c r="DS4" s="25" t="s">
        <v>186</v>
      </c>
      <c r="DT4" s="25" t="s">
        <v>187</v>
      </c>
      <c r="DU4" s="25" t="s">
        <v>188</v>
      </c>
      <c r="DV4" s="87"/>
      <c r="DW4" s="86"/>
      <c r="DX4" s="25" t="s">
        <v>186</v>
      </c>
      <c r="DY4" s="25" t="s">
        <v>187</v>
      </c>
      <c r="DZ4" s="25" t="s">
        <v>188</v>
      </c>
      <c r="EA4" s="87"/>
      <c r="EB4" s="86"/>
      <c r="EC4" s="25" t="s">
        <v>186</v>
      </c>
      <c r="ED4" s="25" t="s">
        <v>187</v>
      </c>
      <c r="EE4" s="25" t="s">
        <v>188</v>
      </c>
      <c r="EF4" s="89"/>
      <c r="EG4" s="86"/>
      <c r="EH4" s="25" t="s">
        <v>186</v>
      </c>
      <c r="EI4" s="25" t="s">
        <v>187</v>
      </c>
      <c r="EJ4" s="25" t="s">
        <v>188</v>
      </c>
      <c r="EK4" s="89"/>
      <c r="EL4" s="86"/>
      <c r="EM4" s="25" t="s">
        <v>186</v>
      </c>
      <c r="EN4" s="25" t="s">
        <v>187</v>
      </c>
      <c r="EO4" s="25" t="s">
        <v>188</v>
      </c>
      <c r="EP4" s="89"/>
      <c r="EQ4" s="86"/>
      <c r="ER4" s="25" t="s">
        <v>186</v>
      </c>
      <c r="ES4" s="25" t="s">
        <v>187</v>
      </c>
      <c r="ET4" s="25" t="s">
        <v>188</v>
      </c>
      <c r="EU4" s="87"/>
      <c r="EV4" s="86"/>
      <c r="EW4" s="25" t="s">
        <v>186</v>
      </c>
      <c r="EX4" s="25" t="s">
        <v>187</v>
      </c>
      <c r="EY4" s="25" t="s">
        <v>188</v>
      </c>
      <c r="EZ4" s="87"/>
      <c r="FA4" s="86"/>
      <c r="FB4" s="25" t="s">
        <v>186</v>
      </c>
      <c r="FC4" s="25" t="s">
        <v>187</v>
      </c>
      <c r="FD4" s="25" t="s">
        <v>188</v>
      </c>
      <c r="FE4" s="87"/>
      <c r="FF4" s="88"/>
      <c r="FG4" s="25" t="s">
        <v>186</v>
      </c>
      <c r="FH4" s="25" t="s">
        <v>187</v>
      </c>
      <c r="FI4" s="25" t="s">
        <v>188</v>
      </c>
      <c r="FJ4" s="87"/>
      <c r="FK4" s="86"/>
      <c r="FL4" s="25" t="s">
        <v>186</v>
      </c>
      <c r="FM4" s="25" t="s">
        <v>187</v>
      </c>
      <c r="FN4" s="25" t="s">
        <v>188</v>
      </c>
      <c r="FO4" s="87"/>
    </row>
    <row r="5" spans="1:171" x14ac:dyDescent="0.25">
      <c r="A5" s="26" t="s">
        <v>190</v>
      </c>
      <c r="B5" s="26"/>
      <c r="C5" s="26"/>
      <c r="D5" s="26"/>
      <c r="E5" s="26"/>
      <c r="F5" s="56"/>
      <c r="G5" s="26">
        <v>1</v>
      </c>
      <c r="H5" s="26"/>
      <c r="I5" s="26">
        <v>33.86</v>
      </c>
      <c r="J5" s="26"/>
      <c r="K5" s="56">
        <v>0.22189999999999999</v>
      </c>
      <c r="L5" s="26"/>
      <c r="M5" s="26"/>
      <c r="N5" s="26"/>
      <c r="O5" s="26"/>
      <c r="P5" s="26"/>
      <c r="Q5" s="26"/>
      <c r="R5" s="26"/>
      <c r="S5" s="26"/>
      <c r="T5" s="26"/>
      <c r="U5" s="5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56"/>
      <c r="AK5" s="11">
        <v>1</v>
      </c>
      <c r="AL5" s="26">
        <v>630.44000000000005</v>
      </c>
      <c r="AM5" s="26"/>
      <c r="AN5" s="26"/>
      <c r="AO5" s="56">
        <v>0.99099999999999999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>
        <v>1</v>
      </c>
      <c r="BF5" s="26">
        <v>451</v>
      </c>
      <c r="BG5" s="26"/>
      <c r="BH5" s="26">
        <v>1</v>
      </c>
      <c r="BI5" s="56">
        <v>2.75E-2</v>
      </c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56"/>
      <c r="CN5" s="26"/>
      <c r="CO5" s="26"/>
      <c r="CP5" s="26"/>
      <c r="CQ5" s="26"/>
      <c r="CR5" s="56"/>
      <c r="CS5" s="26"/>
      <c r="CT5" s="26"/>
      <c r="CU5" s="26"/>
      <c r="CV5" s="26"/>
      <c r="CW5" s="56"/>
      <c r="CX5" s="26"/>
      <c r="CY5" s="26"/>
      <c r="CZ5" s="26"/>
      <c r="DA5" s="26"/>
      <c r="DB5" s="26"/>
      <c r="DC5" s="26"/>
      <c r="DD5" s="26"/>
      <c r="DE5" s="26"/>
      <c r="DF5" s="26"/>
      <c r="DG5" s="56"/>
      <c r="DH5" s="26"/>
      <c r="DI5" s="26"/>
      <c r="DJ5" s="26"/>
      <c r="DK5" s="26"/>
      <c r="DL5" s="56"/>
      <c r="DM5" s="26"/>
      <c r="DN5" s="26"/>
      <c r="DO5" s="26"/>
      <c r="DP5" s="26"/>
      <c r="DQ5" s="26"/>
      <c r="DR5" s="26"/>
      <c r="DS5" s="26"/>
      <c r="DT5" s="26"/>
      <c r="DU5" s="26"/>
      <c r="DV5" s="56"/>
      <c r="DW5" s="57">
        <v>2</v>
      </c>
      <c r="DX5" s="57">
        <v>123</v>
      </c>
      <c r="DY5" s="56"/>
      <c r="DZ5" s="56"/>
      <c r="EA5" s="56">
        <v>1</v>
      </c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56"/>
      <c r="EV5" s="26">
        <v>1</v>
      </c>
      <c r="EW5" s="26">
        <v>27212.63</v>
      </c>
      <c r="EX5" s="26">
        <v>76.88</v>
      </c>
      <c r="EY5" s="26"/>
      <c r="EZ5" s="56">
        <v>0.99639999999999995</v>
      </c>
      <c r="FA5" s="26"/>
      <c r="FB5" s="26"/>
      <c r="FC5" s="26"/>
      <c r="FD5" s="26"/>
      <c r="FE5" s="56"/>
      <c r="FF5" s="11"/>
      <c r="FG5" s="26"/>
      <c r="FH5" s="26"/>
      <c r="FI5" s="26"/>
      <c r="FJ5" s="56"/>
      <c r="FK5" s="26"/>
      <c r="FL5" s="26"/>
      <c r="FM5" s="26"/>
      <c r="FN5" s="26"/>
      <c r="FO5" s="56"/>
    </row>
    <row r="6" spans="1:171" x14ac:dyDescent="0.25">
      <c r="A6" s="26" t="s">
        <v>191</v>
      </c>
      <c r="B6" s="26">
        <v>2</v>
      </c>
      <c r="C6" s="26">
        <v>3074.43</v>
      </c>
      <c r="D6" s="26">
        <v>54</v>
      </c>
      <c r="E6" s="26"/>
      <c r="F6" s="56">
        <v>0.96089999999999998</v>
      </c>
      <c r="G6" s="26"/>
      <c r="H6" s="26"/>
      <c r="I6" s="26"/>
      <c r="J6" s="26"/>
      <c r="K6" s="56"/>
      <c r="L6" s="11">
        <v>7</v>
      </c>
      <c r="M6" s="82">
        <v>1327.13</v>
      </c>
      <c r="N6" s="82">
        <v>60.75</v>
      </c>
      <c r="O6" s="26"/>
      <c r="P6" s="56">
        <v>0.18340000000000001</v>
      </c>
      <c r="Q6" s="26"/>
      <c r="R6" s="26"/>
      <c r="S6" s="26"/>
      <c r="T6" s="26"/>
      <c r="U6" s="56"/>
      <c r="V6" s="26">
        <v>25</v>
      </c>
      <c r="W6" s="26">
        <v>16696</v>
      </c>
      <c r="X6" s="26">
        <v>1089</v>
      </c>
      <c r="Y6" s="26">
        <v>9150</v>
      </c>
      <c r="Z6" s="57">
        <v>0.23910000000000001</v>
      </c>
      <c r="AA6" s="26">
        <v>3</v>
      </c>
      <c r="AB6" s="26">
        <v>587.60026000000005</v>
      </c>
      <c r="AC6" s="26">
        <v>0.20573</v>
      </c>
      <c r="AD6" s="26"/>
      <c r="AE6" s="57">
        <v>4.0300000000000002E-2</v>
      </c>
      <c r="AF6" s="26"/>
      <c r="AG6" s="26">
        <v>445.62</v>
      </c>
      <c r="AH6" s="26">
        <v>31.01</v>
      </c>
      <c r="AI6" s="26"/>
      <c r="AJ6" s="56">
        <v>9.5899999999999999E-2</v>
      </c>
      <c r="AK6" s="11"/>
      <c r="AL6" s="26"/>
      <c r="AM6" s="26"/>
      <c r="AN6" s="26"/>
      <c r="AO6" s="5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>
        <v>9</v>
      </c>
      <c r="BF6" s="26">
        <v>96</v>
      </c>
      <c r="BG6" s="26">
        <v>114</v>
      </c>
      <c r="BH6" s="26">
        <v>55</v>
      </c>
      <c r="BI6" s="56">
        <v>1.61E-2</v>
      </c>
      <c r="BJ6" s="26">
        <v>4</v>
      </c>
      <c r="BK6" s="26">
        <v>4809</v>
      </c>
      <c r="BL6" s="26">
        <v>36</v>
      </c>
      <c r="BM6" s="26">
        <v>35</v>
      </c>
      <c r="BN6" s="57">
        <v>0.47489999999999999</v>
      </c>
      <c r="BO6" s="26">
        <v>28</v>
      </c>
      <c r="BP6" s="26">
        <v>22600.799999999999</v>
      </c>
      <c r="BQ6" s="26">
        <v>1674</v>
      </c>
      <c r="BR6" s="26">
        <v>2198.6</v>
      </c>
      <c r="BS6" s="57">
        <v>0.31059999999999999</v>
      </c>
      <c r="BT6" s="26">
        <v>34</v>
      </c>
      <c r="BU6" s="26">
        <v>14486</v>
      </c>
      <c r="BV6" s="26">
        <v>1560</v>
      </c>
      <c r="BW6" s="26">
        <v>5227</v>
      </c>
      <c r="BX6" s="57">
        <v>0.18090000000000001</v>
      </c>
      <c r="BY6" s="26">
        <v>9</v>
      </c>
      <c r="BZ6" s="26">
        <v>4840</v>
      </c>
      <c r="CA6" s="26">
        <v>29</v>
      </c>
      <c r="CB6" s="26">
        <v>195</v>
      </c>
      <c r="CC6" s="56">
        <v>0.09</v>
      </c>
      <c r="CD6" s="26"/>
      <c r="CE6" s="26"/>
      <c r="CF6" s="26"/>
      <c r="CG6" s="26"/>
      <c r="CH6" s="26"/>
      <c r="CI6" s="26">
        <v>2</v>
      </c>
      <c r="CJ6" s="26">
        <v>8</v>
      </c>
      <c r="CK6" s="26">
        <v>5</v>
      </c>
      <c r="CL6" s="26"/>
      <c r="CM6" s="56">
        <v>1.9E-3</v>
      </c>
      <c r="CN6" s="26">
        <v>8</v>
      </c>
      <c r="CO6" s="26">
        <v>4503</v>
      </c>
      <c r="CP6" s="26">
        <v>58</v>
      </c>
      <c r="CQ6" s="26">
        <v>2</v>
      </c>
      <c r="CR6" s="56">
        <v>0.37090000000000001</v>
      </c>
      <c r="CS6" s="26">
        <v>1</v>
      </c>
      <c r="CT6" s="26">
        <v>147</v>
      </c>
      <c r="CU6" s="26"/>
      <c r="CV6" s="26"/>
      <c r="CW6" s="56">
        <v>0.03</v>
      </c>
      <c r="CX6" s="26"/>
      <c r="CY6" s="80">
        <v>1124</v>
      </c>
      <c r="CZ6" s="81">
        <v>47</v>
      </c>
      <c r="DA6" s="82">
        <v>149</v>
      </c>
      <c r="DB6" s="56">
        <v>1.6799999999999999E-2</v>
      </c>
      <c r="DC6" s="26">
        <v>37</v>
      </c>
      <c r="DD6" s="26">
        <v>1913.35</v>
      </c>
      <c r="DE6" s="26">
        <v>1438.4</v>
      </c>
      <c r="DF6" s="26">
        <v>1613.58</v>
      </c>
      <c r="DG6" s="56">
        <v>3.6900000000000002E-2</v>
      </c>
      <c r="DH6" s="26"/>
      <c r="DI6" s="26">
        <v>2954</v>
      </c>
      <c r="DJ6" s="26">
        <v>853</v>
      </c>
      <c r="DK6" s="26">
        <v>106</v>
      </c>
      <c r="DL6" s="56">
        <v>4.3400000000000001E-2</v>
      </c>
      <c r="DM6" s="26">
        <v>3</v>
      </c>
      <c r="DN6" s="26"/>
      <c r="DO6" s="26">
        <v>105.43</v>
      </c>
      <c r="DP6" s="26">
        <v>-1.05</v>
      </c>
      <c r="DQ6" s="57">
        <v>0.13900000000000001</v>
      </c>
      <c r="DR6" s="26">
        <v>23</v>
      </c>
      <c r="DS6" s="26">
        <v>1665.14</v>
      </c>
      <c r="DT6" s="26">
        <v>35.090000000000003</v>
      </c>
      <c r="DU6" s="26">
        <v>169.82</v>
      </c>
      <c r="DV6" s="56">
        <v>0.02</v>
      </c>
      <c r="DW6" s="56"/>
      <c r="DX6" s="56"/>
      <c r="DY6" s="56"/>
      <c r="DZ6" s="56"/>
      <c r="EA6" s="5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>
        <v>6</v>
      </c>
      <c r="EM6" s="26">
        <v>2784.74</v>
      </c>
      <c r="EN6" s="26">
        <v>13.49</v>
      </c>
      <c r="EO6" s="26">
        <v>114.61</v>
      </c>
      <c r="EP6" s="56">
        <v>4.5199999999999997E-2</v>
      </c>
      <c r="EQ6" s="26">
        <v>1</v>
      </c>
      <c r="ER6" s="26">
        <v>1.51</v>
      </c>
      <c r="ES6" s="26"/>
      <c r="ET6" s="26"/>
      <c r="EU6" s="56">
        <v>4.0000000000000002E-4</v>
      </c>
      <c r="EV6" s="26"/>
      <c r="EW6" s="26"/>
      <c r="EX6" s="26"/>
      <c r="EY6" s="26"/>
      <c r="EZ6" s="56"/>
      <c r="FA6" s="26">
        <v>32</v>
      </c>
      <c r="FB6" s="26">
        <v>31389</v>
      </c>
      <c r="FC6" s="26">
        <v>1400</v>
      </c>
      <c r="FD6" s="26">
        <v>2459</v>
      </c>
      <c r="FE6" s="56">
        <v>0.28999999999999998</v>
      </c>
      <c r="FF6" s="11">
        <v>11</v>
      </c>
      <c r="FG6" s="26">
        <v>5</v>
      </c>
      <c r="FH6" s="26">
        <v>3</v>
      </c>
      <c r="FI6" s="26">
        <v>367</v>
      </c>
      <c r="FJ6" s="56">
        <v>6.0000000000000001E-3</v>
      </c>
      <c r="FK6" s="26">
        <v>29</v>
      </c>
      <c r="FL6" s="26">
        <v>268</v>
      </c>
      <c r="FM6" s="26">
        <v>543</v>
      </c>
      <c r="FN6" s="26">
        <v>5159</v>
      </c>
      <c r="FO6" s="56">
        <v>0.49440000000000001</v>
      </c>
    </row>
    <row r="7" spans="1:171" x14ac:dyDescent="0.25">
      <c r="A7" s="26" t="s">
        <v>192</v>
      </c>
      <c r="B7" s="26">
        <v>1</v>
      </c>
      <c r="C7" s="26">
        <v>127.13</v>
      </c>
      <c r="D7" s="26"/>
      <c r="E7" s="26"/>
      <c r="F7" s="56">
        <v>3.9100000000000003E-2</v>
      </c>
      <c r="G7" s="26">
        <v>3</v>
      </c>
      <c r="H7" s="26">
        <v>20.46</v>
      </c>
      <c r="I7" s="26">
        <v>98.25</v>
      </c>
      <c r="J7" s="26"/>
      <c r="K7" s="56">
        <v>0.77810000000000001</v>
      </c>
      <c r="L7" s="11">
        <v>48</v>
      </c>
      <c r="M7" s="82">
        <v>5997.01</v>
      </c>
      <c r="N7" s="82">
        <v>183.41</v>
      </c>
      <c r="O7" s="26"/>
      <c r="P7" s="56">
        <v>0.8165</v>
      </c>
      <c r="Q7" s="26">
        <v>3</v>
      </c>
      <c r="R7" s="26">
        <v>7777</v>
      </c>
      <c r="S7" s="26">
        <v>67</v>
      </c>
      <c r="T7" s="26"/>
      <c r="U7" s="56">
        <v>0.73</v>
      </c>
      <c r="V7" s="26">
        <v>129</v>
      </c>
      <c r="W7" s="26">
        <v>61131</v>
      </c>
      <c r="X7" s="26">
        <v>3355</v>
      </c>
      <c r="Y7" s="26">
        <v>21245</v>
      </c>
      <c r="Z7" s="57">
        <v>0.76090000000000002</v>
      </c>
      <c r="AA7" s="26">
        <v>41</v>
      </c>
      <c r="AB7" s="26">
        <v>5716.7943699999996</v>
      </c>
      <c r="AC7" s="26">
        <v>860.93348000000003</v>
      </c>
      <c r="AD7" s="26">
        <v>347.73342000000002</v>
      </c>
      <c r="AE7" s="57">
        <v>0.47520000000000001</v>
      </c>
      <c r="AF7" s="26"/>
      <c r="AG7" s="26">
        <v>2278.6799999999998</v>
      </c>
      <c r="AH7" s="26">
        <v>366.12</v>
      </c>
      <c r="AI7" s="26">
        <v>1847.23</v>
      </c>
      <c r="AJ7" s="56">
        <v>0.90400000000000003</v>
      </c>
      <c r="AK7" s="11">
        <v>1</v>
      </c>
      <c r="AL7" s="26">
        <v>9.33</v>
      </c>
      <c r="AM7" s="26"/>
      <c r="AN7" s="26">
        <v>-3.59</v>
      </c>
      <c r="AO7" s="56">
        <v>8.9999999999999993E-3</v>
      </c>
      <c r="AP7" s="26">
        <v>4</v>
      </c>
      <c r="AQ7" s="26">
        <v>-39.76</v>
      </c>
      <c r="AR7" s="26">
        <v>28.12</v>
      </c>
      <c r="AS7" s="26"/>
      <c r="AT7" s="57">
        <v>-1.06E-2</v>
      </c>
      <c r="AU7" s="26"/>
      <c r="AV7" s="26"/>
      <c r="AW7" s="26"/>
      <c r="AX7" s="26"/>
      <c r="AY7" s="26"/>
      <c r="AZ7" s="26">
        <v>6</v>
      </c>
      <c r="BA7" s="26">
        <v>3374.77</v>
      </c>
      <c r="BB7" s="26">
        <v>2002.03</v>
      </c>
      <c r="BC7" s="26"/>
      <c r="BD7" s="57">
        <v>0.6371</v>
      </c>
      <c r="BE7" s="26">
        <v>54</v>
      </c>
      <c r="BF7" s="26">
        <v>2931</v>
      </c>
      <c r="BG7" s="26">
        <v>397</v>
      </c>
      <c r="BH7" s="26">
        <v>582</v>
      </c>
      <c r="BI7" s="56">
        <v>0.23769999999999999</v>
      </c>
      <c r="BJ7" s="26">
        <v>16</v>
      </c>
      <c r="BK7" s="26">
        <v>5122</v>
      </c>
      <c r="BL7" s="26">
        <v>199</v>
      </c>
      <c r="BM7" s="26">
        <v>75</v>
      </c>
      <c r="BN7" s="57">
        <v>0.52510000000000001</v>
      </c>
      <c r="BO7" s="26">
        <v>149</v>
      </c>
      <c r="BP7" s="26">
        <v>49147.6</v>
      </c>
      <c r="BQ7" s="26">
        <v>2025.4</v>
      </c>
      <c r="BR7" s="26">
        <v>4292.7</v>
      </c>
      <c r="BS7" s="57">
        <v>0.65069999999999995</v>
      </c>
      <c r="BT7" s="26">
        <v>147</v>
      </c>
      <c r="BU7" s="26">
        <v>74331</v>
      </c>
      <c r="BV7" s="26">
        <v>4649</v>
      </c>
      <c r="BW7" s="26">
        <v>9657</v>
      </c>
      <c r="BX7" s="57">
        <v>0.75390000000000001</v>
      </c>
      <c r="BY7" s="26">
        <v>126</v>
      </c>
      <c r="BZ7" s="26">
        <v>40960</v>
      </c>
      <c r="CA7" s="26">
        <v>1394</v>
      </c>
      <c r="CB7" s="26">
        <v>8909</v>
      </c>
      <c r="CC7" s="56">
        <v>0.88</v>
      </c>
      <c r="CD7" s="26">
        <v>4</v>
      </c>
      <c r="CE7" s="26">
        <v>124</v>
      </c>
      <c r="CF7" s="26">
        <v>29</v>
      </c>
      <c r="CG7" s="26"/>
      <c r="CH7" s="57">
        <v>0.123</v>
      </c>
      <c r="CI7" s="26">
        <v>18</v>
      </c>
      <c r="CJ7" s="26"/>
      <c r="CK7" s="26">
        <v>827</v>
      </c>
      <c r="CL7" s="26">
        <v>12</v>
      </c>
      <c r="CM7" s="56">
        <v>0.998</v>
      </c>
      <c r="CN7" s="26">
        <v>20</v>
      </c>
      <c r="CO7" s="26">
        <v>7270</v>
      </c>
      <c r="CP7" s="26">
        <v>149</v>
      </c>
      <c r="CQ7" s="26">
        <v>310</v>
      </c>
      <c r="CR7" s="56">
        <v>0.62829999999999997</v>
      </c>
      <c r="CS7" s="26">
        <v>3</v>
      </c>
      <c r="CT7" s="26">
        <v>5600</v>
      </c>
      <c r="CU7" s="26">
        <v>36.659999999999997</v>
      </c>
      <c r="CV7" s="26"/>
      <c r="CW7" s="56">
        <v>0.97</v>
      </c>
      <c r="CX7" s="26"/>
      <c r="CY7" s="80">
        <v>39362</v>
      </c>
      <c r="CZ7" s="81">
        <v>9239</v>
      </c>
      <c r="DA7" s="82">
        <v>9578</v>
      </c>
      <c r="DB7" s="56">
        <v>0.74080000000000001</v>
      </c>
      <c r="DC7" s="26">
        <v>220</v>
      </c>
      <c r="DD7" s="26">
        <v>6832.64</v>
      </c>
      <c r="DE7" s="26">
        <v>3329.85</v>
      </c>
      <c r="DF7" s="26">
        <v>10657.93</v>
      </c>
      <c r="DG7" s="56">
        <v>0.15459999999999999</v>
      </c>
      <c r="DH7" s="26"/>
      <c r="DI7" s="26">
        <v>1986</v>
      </c>
      <c r="DJ7" s="26">
        <v>2685</v>
      </c>
      <c r="DK7" s="26">
        <v>1023</v>
      </c>
      <c r="DL7" s="56">
        <v>6.3100000000000003E-2</v>
      </c>
      <c r="DM7" s="26">
        <v>5</v>
      </c>
      <c r="DN7" s="26">
        <v>4.16</v>
      </c>
      <c r="DO7" s="26">
        <v>399.29</v>
      </c>
      <c r="DP7" s="26">
        <v>243.06</v>
      </c>
      <c r="DQ7" s="57">
        <v>0.86099999999999999</v>
      </c>
      <c r="DR7" s="26">
        <v>126</v>
      </c>
      <c r="DS7" s="26">
        <v>58464.22</v>
      </c>
      <c r="DT7" s="26">
        <v>1927.27</v>
      </c>
      <c r="DU7" s="26">
        <v>2881.05</v>
      </c>
      <c r="DV7" s="56">
        <v>0.81</v>
      </c>
      <c r="DW7" s="56"/>
      <c r="DX7" s="56"/>
      <c r="DY7" s="56"/>
      <c r="DZ7" s="56"/>
      <c r="EA7" s="56"/>
      <c r="EB7" s="26">
        <v>1</v>
      </c>
      <c r="EC7" s="26">
        <v>21865.7</v>
      </c>
      <c r="ED7" s="26">
        <v>225</v>
      </c>
      <c r="EE7" s="26">
        <v>10.9</v>
      </c>
      <c r="EF7" s="57">
        <v>1</v>
      </c>
      <c r="EG7" s="26">
        <v>34</v>
      </c>
      <c r="EH7" s="26">
        <v>6167</v>
      </c>
      <c r="EI7" s="26">
        <v>1182</v>
      </c>
      <c r="EJ7" s="26">
        <v>81</v>
      </c>
      <c r="EK7" s="56">
        <v>0.33679999999999999</v>
      </c>
      <c r="EL7" s="26">
        <v>96</v>
      </c>
      <c r="EM7" s="26">
        <v>56754.99</v>
      </c>
      <c r="EN7" s="26">
        <v>3079.2</v>
      </c>
      <c r="EO7" s="26">
        <v>557.83000000000004</v>
      </c>
      <c r="EP7" s="56">
        <v>0.93659999999999999</v>
      </c>
      <c r="EQ7" s="26">
        <v>6</v>
      </c>
      <c r="ER7" s="26">
        <v>119.82</v>
      </c>
      <c r="ES7" s="26">
        <v>104.94</v>
      </c>
      <c r="ET7" s="26"/>
      <c r="EU7" s="56">
        <v>7.4300000000000005E-2</v>
      </c>
      <c r="EV7" s="26">
        <v>2</v>
      </c>
      <c r="EW7" s="26">
        <v>88.33</v>
      </c>
      <c r="EX7" s="26">
        <v>10.98</v>
      </c>
      <c r="EY7" s="26"/>
      <c r="EZ7" s="56">
        <v>3.5999999999999999E-3</v>
      </c>
      <c r="FA7" s="26">
        <v>112</v>
      </c>
      <c r="FB7" s="26">
        <v>72917</v>
      </c>
      <c r="FC7" s="26">
        <v>3289</v>
      </c>
      <c r="FD7" s="26">
        <v>8784</v>
      </c>
      <c r="FE7" s="56">
        <v>0.69930000000000003</v>
      </c>
      <c r="FF7" s="11">
        <v>271</v>
      </c>
      <c r="FG7" s="26">
        <v>6755</v>
      </c>
      <c r="FH7" s="26">
        <v>5021</v>
      </c>
      <c r="FI7" s="26">
        <v>11004</v>
      </c>
      <c r="FJ7" s="56">
        <v>0.36549999999999999</v>
      </c>
      <c r="FK7" s="26">
        <v>28</v>
      </c>
      <c r="FL7" s="26">
        <v>3268</v>
      </c>
      <c r="FM7" s="26">
        <v>2165</v>
      </c>
      <c r="FN7" s="26">
        <v>161</v>
      </c>
      <c r="FO7" s="56">
        <v>0.46339999999999998</v>
      </c>
    </row>
    <row r="8" spans="1:171" x14ac:dyDescent="0.25">
      <c r="A8" s="26" t="s">
        <v>193</v>
      </c>
      <c r="B8" s="26"/>
      <c r="C8" s="26"/>
      <c r="D8" s="26"/>
      <c r="E8" s="26"/>
      <c r="F8" s="56"/>
      <c r="G8" s="26"/>
      <c r="H8" s="26"/>
      <c r="I8" s="26"/>
      <c r="J8" s="26"/>
      <c r="K8" s="56"/>
      <c r="L8" s="11">
        <v>0</v>
      </c>
      <c r="M8" s="82">
        <v>0</v>
      </c>
      <c r="N8" s="26"/>
      <c r="O8" s="26"/>
      <c r="P8" s="56">
        <v>0</v>
      </c>
      <c r="Q8" s="26">
        <v>1</v>
      </c>
      <c r="R8" s="26">
        <v>2656</v>
      </c>
      <c r="S8" s="26">
        <v>190</v>
      </c>
      <c r="T8" s="26"/>
      <c r="U8" s="56">
        <v>0.27</v>
      </c>
      <c r="V8" s="26"/>
      <c r="W8" s="26"/>
      <c r="X8" s="26"/>
      <c r="Y8" s="26"/>
      <c r="Z8" s="26"/>
      <c r="AA8" s="26">
        <v>9</v>
      </c>
      <c r="AB8" s="26">
        <v>5706.3207899999998</v>
      </c>
      <c r="AC8" s="26">
        <v>439.19553000000002</v>
      </c>
      <c r="AD8" s="26">
        <v>178.65745000000001</v>
      </c>
      <c r="AE8" s="57">
        <v>0.434</v>
      </c>
      <c r="AF8" s="26"/>
      <c r="AG8" s="26"/>
      <c r="AH8" s="26"/>
      <c r="AI8" s="26"/>
      <c r="AJ8" s="56"/>
      <c r="AK8" s="11"/>
      <c r="AL8" s="26"/>
      <c r="AM8" s="26"/>
      <c r="AN8" s="26"/>
      <c r="AO8" s="56"/>
      <c r="AP8" s="26">
        <v>7</v>
      </c>
      <c r="AQ8" s="26">
        <v>1011.87</v>
      </c>
      <c r="AR8" s="26">
        <v>90.32</v>
      </c>
      <c r="AS8" s="26"/>
      <c r="AT8" s="57">
        <v>1.0082</v>
      </c>
      <c r="AU8" s="26"/>
      <c r="AV8" s="26"/>
      <c r="AW8" s="26"/>
      <c r="AX8" s="26"/>
      <c r="AY8" s="26"/>
      <c r="AZ8" s="26">
        <v>3</v>
      </c>
      <c r="BA8" s="26">
        <v>3062.59</v>
      </c>
      <c r="BB8" s="26"/>
      <c r="BC8" s="26"/>
      <c r="BD8" s="57">
        <v>0.3629</v>
      </c>
      <c r="BE8" s="26">
        <v>10</v>
      </c>
      <c r="BF8" s="26">
        <v>1135</v>
      </c>
      <c r="BG8" s="26">
        <v>152</v>
      </c>
      <c r="BH8" s="26">
        <v>3</v>
      </c>
      <c r="BI8" s="56">
        <v>7.8399999999999997E-2</v>
      </c>
      <c r="BJ8" s="26"/>
      <c r="BK8" s="26"/>
      <c r="BL8" s="26"/>
      <c r="BM8" s="26"/>
      <c r="BN8" s="26"/>
      <c r="BO8" s="26">
        <v>2</v>
      </c>
      <c r="BP8" s="26">
        <v>7.4</v>
      </c>
      <c r="BQ8" s="26"/>
      <c r="BR8" s="26"/>
      <c r="BS8" s="57">
        <v>1E-4</v>
      </c>
      <c r="BT8" s="26">
        <v>1</v>
      </c>
      <c r="BU8" s="26">
        <v>5</v>
      </c>
      <c r="BV8" s="26"/>
      <c r="BW8" s="26"/>
      <c r="BX8" s="57">
        <v>2.0000000000000001E-4</v>
      </c>
      <c r="BY8" s="26">
        <v>21</v>
      </c>
      <c r="BZ8" s="26">
        <v>292</v>
      </c>
      <c r="CA8" s="26">
        <v>36</v>
      </c>
      <c r="CB8" s="26">
        <v>48</v>
      </c>
      <c r="CC8" s="56">
        <v>0.01</v>
      </c>
      <c r="CD8" s="26">
        <v>1</v>
      </c>
      <c r="CE8" s="26">
        <v>978</v>
      </c>
      <c r="CF8" s="26">
        <v>73</v>
      </c>
      <c r="CG8" s="26">
        <v>1</v>
      </c>
      <c r="CH8" s="57">
        <v>0.84599999999999997</v>
      </c>
      <c r="CI8" s="26"/>
      <c r="CJ8" s="26"/>
      <c r="CK8" s="26"/>
      <c r="CL8" s="26"/>
      <c r="CM8" s="56"/>
      <c r="CN8" s="26">
        <v>3</v>
      </c>
      <c r="CO8" s="26"/>
      <c r="CP8" s="26"/>
      <c r="CQ8" s="26"/>
      <c r="CR8" s="56"/>
      <c r="CS8" s="26"/>
      <c r="CT8" s="26"/>
      <c r="CU8" s="26"/>
      <c r="CV8" s="26"/>
      <c r="CW8" s="56"/>
      <c r="CX8" s="26"/>
      <c r="CY8" s="80">
        <v>2996</v>
      </c>
      <c r="CZ8" s="81">
        <v>2355</v>
      </c>
      <c r="DA8" s="82">
        <v>13687</v>
      </c>
      <c r="DB8" s="56">
        <v>0.2424</v>
      </c>
      <c r="DC8" s="26">
        <v>73</v>
      </c>
      <c r="DD8" s="26">
        <v>66160.33</v>
      </c>
      <c r="DE8" s="26">
        <v>7574.51</v>
      </c>
      <c r="DF8" s="26">
        <v>35154</v>
      </c>
      <c r="DG8" s="56">
        <v>0.8085</v>
      </c>
      <c r="DH8" s="26"/>
      <c r="DI8" s="26">
        <v>4</v>
      </c>
      <c r="DJ8" s="26">
        <v>74</v>
      </c>
      <c r="DK8" s="26">
        <v>1</v>
      </c>
      <c r="DL8" s="56">
        <v>8.9999999999999998E-4</v>
      </c>
      <c r="DM8" s="26"/>
      <c r="DN8" s="26"/>
      <c r="DO8" s="26"/>
      <c r="DP8" s="26"/>
      <c r="DQ8" s="57"/>
      <c r="DR8" s="26">
        <v>9</v>
      </c>
      <c r="DS8" s="26">
        <v>1866.21</v>
      </c>
      <c r="DT8" s="26">
        <v>72.73</v>
      </c>
      <c r="DU8" s="26">
        <v>9.26</v>
      </c>
      <c r="DV8" s="56">
        <v>0.03</v>
      </c>
      <c r="DW8" s="56"/>
      <c r="DX8" s="56"/>
      <c r="DY8" s="56"/>
      <c r="DZ8" s="56"/>
      <c r="EA8" s="56"/>
      <c r="EB8" s="26"/>
      <c r="EC8" s="26"/>
      <c r="ED8" s="26"/>
      <c r="EE8" s="26"/>
      <c r="EF8" s="26"/>
      <c r="EG8" s="26">
        <v>15</v>
      </c>
      <c r="EH8" s="26">
        <v>13038</v>
      </c>
      <c r="EI8" s="26">
        <v>835</v>
      </c>
      <c r="EJ8" s="26">
        <v>756</v>
      </c>
      <c r="EK8" s="56">
        <v>0.66320000000000001</v>
      </c>
      <c r="EL8" s="26"/>
      <c r="EM8" s="26"/>
      <c r="EN8" s="26"/>
      <c r="EO8" s="26"/>
      <c r="EP8" s="26"/>
      <c r="EQ8" s="26">
        <v>7</v>
      </c>
      <c r="ER8" s="26">
        <v>2993.63</v>
      </c>
      <c r="ES8" s="26">
        <v>273.44</v>
      </c>
      <c r="ET8" s="26">
        <v>47.73</v>
      </c>
      <c r="EU8" s="56">
        <v>0.90610000000000002</v>
      </c>
      <c r="EV8" s="26"/>
      <c r="EW8" s="26"/>
      <c r="EX8" s="26"/>
      <c r="EY8" s="26"/>
      <c r="EZ8" s="56"/>
      <c r="FA8" s="26">
        <v>1</v>
      </c>
      <c r="FB8" s="26">
        <v>27</v>
      </c>
      <c r="FC8" s="26"/>
      <c r="FD8" s="26"/>
      <c r="FE8" s="56">
        <v>2.0000000000000001E-4</v>
      </c>
      <c r="FF8" s="11">
        <v>35</v>
      </c>
      <c r="FG8" s="26">
        <v>674</v>
      </c>
      <c r="FH8" s="26">
        <v>1237</v>
      </c>
      <c r="FI8" s="26">
        <v>165</v>
      </c>
      <c r="FJ8" s="56">
        <v>3.3300000000000003E-2</v>
      </c>
      <c r="FK8" s="26">
        <v>4</v>
      </c>
      <c r="FL8" s="26">
        <v>66</v>
      </c>
      <c r="FM8" s="26">
        <v>93</v>
      </c>
      <c r="FN8" s="26"/>
      <c r="FO8" s="56">
        <v>1.3100000000000001E-2</v>
      </c>
    </row>
    <row r="9" spans="1:171" x14ac:dyDescent="0.25">
      <c r="A9" s="26" t="s">
        <v>194</v>
      </c>
      <c r="B9" s="26"/>
      <c r="C9" s="26"/>
      <c r="D9" s="26"/>
      <c r="E9" s="26"/>
      <c r="F9" s="56"/>
      <c r="G9" s="26"/>
      <c r="H9" s="26"/>
      <c r="I9" s="26"/>
      <c r="J9" s="26"/>
      <c r="K9" s="56"/>
      <c r="L9" s="11">
        <v>3</v>
      </c>
      <c r="M9" s="82">
        <v>0.73</v>
      </c>
      <c r="N9" s="26"/>
      <c r="O9" s="26"/>
      <c r="P9" s="56">
        <v>1E-4</v>
      </c>
      <c r="Q9" s="26"/>
      <c r="R9" s="26"/>
      <c r="S9" s="26"/>
      <c r="T9" s="26"/>
      <c r="U9" s="5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>
        <v>0.5</v>
      </c>
      <c r="AH9" s="26"/>
      <c r="AI9" s="26"/>
      <c r="AJ9" s="56">
        <v>1E-4</v>
      </c>
      <c r="AK9" s="11"/>
      <c r="AL9" s="26"/>
      <c r="AM9" s="26"/>
      <c r="AN9" s="26"/>
      <c r="AO9" s="56"/>
      <c r="AP9" s="26">
        <v>2</v>
      </c>
      <c r="AQ9" s="26">
        <v>0.01</v>
      </c>
      <c r="AR9" s="26">
        <v>2.61</v>
      </c>
      <c r="AS9" s="26"/>
      <c r="AT9" s="57">
        <v>2.3999999999999998E-3</v>
      </c>
      <c r="AU9" s="26"/>
      <c r="AV9" s="26"/>
      <c r="AW9" s="26"/>
      <c r="AX9" s="26"/>
      <c r="AY9" s="26"/>
      <c r="AZ9" s="26">
        <v>2</v>
      </c>
      <c r="BA9" s="26">
        <v>-0.04</v>
      </c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>
        <v>9</v>
      </c>
      <c r="BU9" s="26">
        <v>52</v>
      </c>
      <c r="BV9" s="26"/>
      <c r="BW9" s="26"/>
      <c r="BX9" s="57">
        <v>4.0000000000000002E-4</v>
      </c>
      <c r="BY9" s="26"/>
      <c r="BZ9" s="26"/>
      <c r="CA9" s="26"/>
      <c r="CB9" s="26"/>
      <c r="CC9" s="56"/>
      <c r="CD9" s="26"/>
      <c r="CE9" s="26"/>
      <c r="CF9" s="26"/>
      <c r="CG9" s="26"/>
      <c r="CH9" s="57"/>
      <c r="CI9" s="26">
        <v>2</v>
      </c>
      <c r="CJ9" s="26"/>
      <c r="CK9" s="26"/>
      <c r="CL9" s="26"/>
      <c r="CM9" s="56">
        <v>1E-4</v>
      </c>
      <c r="CN9" s="26">
        <v>10</v>
      </c>
      <c r="CO9" s="26"/>
      <c r="CP9" s="26"/>
      <c r="CQ9" s="26"/>
      <c r="CR9" s="56"/>
      <c r="CS9" s="26"/>
      <c r="CT9" s="26"/>
      <c r="CU9" s="26"/>
      <c r="CV9" s="26"/>
      <c r="CW9" s="56"/>
      <c r="CX9" s="26"/>
      <c r="CY9" s="26"/>
      <c r="CZ9" s="26"/>
      <c r="DA9" s="26"/>
      <c r="DB9" s="26"/>
      <c r="DC9" s="26"/>
      <c r="DD9" s="26"/>
      <c r="DE9" s="26"/>
      <c r="DF9" s="26"/>
      <c r="DG9" s="56"/>
      <c r="DH9" s="26"/>
      <c r="DI9" s="26">
        <f>7900+807</f>
        <v>8707</v>
      </c>
      <c r="DJ9" s="26">
        <f>607+543</f>
        <v>1150</v>
      </c>
      <c r="DK9" s="26">
        <f>57+7</f>
        <v>64</v>
      </c>
      <c r="DL9" s="56">
        <v>0.11</v>
      </c>
      <c r="DM9" s="26"/>
      <c r="DN9" s="26"/>
      <c r="DO9" s="26"/>
      <c r="DP9" s="26"/>
      <c r="DQ9" s="57"/>
      <c r="DR9" s="26">
        <v>6</v>
      </c>
      <c r="DS9" s="26">
        <v>2741.7</v>
      </c>
      <c r="DT9" s="26">
        <v>127.11</v>
      </c>
      <c r="DU9" s="26">
        <v>152.30000000000001</v>
      </c>
      <c r="DV9" s="56">
        <v>0.04</v>
      </c>
      <c r="DW9" s="56"/>
      <c r="DX9" s="56"/>
      <c r="DY9" s="56"/>
      <c r="DZ9" s="56"/>
      <c r="EA9" s="5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>
        <v>6</v>
      </c>
      <c r="ER9" s="26">
        <v>38.4</v>
      </c>
      <c r="ES9" s="26">
        <v>31.99</v>
      </c>
      <c r="ET9" s="26">
        <v>53.65</v>
      </c>
      <c r="EU9" s="56">
        <v>1.9199999999999998E-2</v>
      </c>
      <c r="EV9" s="26"/>
      <c r="EW9" s="26"/>
      <c r="EX9" s="26"/>
      <c r="EY9" s="26"/>
      <c r="EZ9" s="56"/>
      <c r="FA9" s="26"/>
      <c r="FB9" s="26"/>
      <c r="FC9" s="26"/>
      <c r="FD9" s="26"/>
      <c r="FE9" s="56"/>
      <c r="FF9" s="11">
        <v>32</v>
      </c>
      <c r="FG9" s="26">
        <v>406</v>
      </c>
      <c r="FH9" s="26">
        <v>181</v>
      </c>
      <c r="FI9" s="26">
        <v>261</v>
      </c>
      <c r="FJ9" s="56">
        <v>1.3599999999999999E-2</v>
      </c>
      <c r="FK9" s="26">
        <v>13</v>
      </c>
      <c r="FL9" s="26">
        <v>68</v>
      </c>
      <c r="FM9" s="26">
        <v>212</v>
      </c>
      <c r="FN9" s="26">
        <v>71</v>
      </c>
      <c r="FO9" s="56">
        <v>2.9100000000000001E-2</v>
      </c>
    </row>
    <row r="10" spans="1:171" ht="30" x14ac:dyDescent="0.25">
      <c r="A10" s="27" t="s">
        <v>195</v>
      </c>
      <c r="B10" s="26"/>
      <c r="C10" s="26"/>
      <c r="D10" s="26"/>
      <c r="E10" s="26"/>
      <c r="F10" s="56"/>
      <c r="G10" s="26"/>
      <c r="H10" s="26"/>
      <c r="I10" s="26"/>
      <c r="J10" s="26"/>
      <c r="K10" s="56"/>
      <c r="L10" s="26"/>
      <c r="M10" s="26"/>
      <c r="N10" s="26"/>
      <c r="O10" s="26"/>
      <c r="P10" s="26"/>
      <c r="Q10" s="26"/>
      <c r="R10" s="26"/>
      <c r="S10" s="26"/>
      <c r="T10" s="26"/>
      <c r="U10" s="5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56"/>
      <c r="AK10" s="11"/>
      <c r="AL10" s="26"/>
      <c r="AM10" s="26"/>
      <c r="AN10" s="26"/>
      <c r="AO10" s="56"/>
      <c r="AP10" s="26"/>
      <c r="AQ10" s="26"/>
      <c r="AR10" s="26"/>
      <c r="AS10" s="26"/>
      <c r="AT10" s="57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56"/>
      <c r="CD10" s="26"/>
      <c r="CE10" s="26"/>
      <c r="CF10" s="26"/>
      <c r="CG10" s="26"/>
      <c r="CH10" s="57"/>
      <c r="CI10" s="26"/>
      <c r="CJ10" s="26"/>
      <c r="CK10" s="26"/>
      <c r="CL10" s="26"/>
      <c r="CM10" s="56"/>
      <c r="CN10" s="26"/>
      <c r="CO10" s="26"/>
      <c r="CP10" s="26"/>
      <c r="CQ10" s="26"/>
      <c r="CR10" s="56"/>
      <c r="CS10" s="26"/>
      <c r="CT10" s="26"/>
      <c r="CU10" s="26"/>
      <c r="CV10" s="26"/>
      <c r="CW10" s="56"/>
      <c r="CX10" s="26"/>
      <c r="CY10" s="26"/>
      <c r="CZ10" s="26"/>
      <c r="DA10" s="26"/>
      <c r="DB10" s="26"/>
      <c r="DC10" s="26"/>
      <c r="DD10" s="26"/>
      <c r="DE10" s="26"/>
      <c r="DF10" s="26"/>
      <c r="DG10" s="56"/>
      <c r="DH10" s="26"/>
      <c r="DI10" s="26"/>
      <c r="DJ10" s="26"/>
      <c r="DK10" s="26"/>
      <c r="DL10" s="56"/>
      <c r="DM10" s="26"/>
      <c r="DN10" s="26"/>
      <c r="DO10" s="26"/>
      <c r="DP10" s="26"/>
      <c r="DQ10" s="57"/>
      <c r="DR10" s="26"/>
      <c r="DS10" s="26"/>
      <c r="DT10" s="26"/>
      <c r="DU10" s="26"/>
      <c r="DV10" s="56"/>
      <c r="DW10" s="56"/>
      <c r="DX10" s="56"/>
      <c r="DY10" s="56"/>
      <c r="DZ10" s="56"/>
      <c r="EA10" s="5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56"/>
      <c r="EV10" s="26"/>
      <c r="EW10" s="26"/>
      <c r="EX10" s="26"/>
      <c r="EY10" s="26"/>
      <c r="EZ10" s="56"/>
      <c r="FA10" s="26"/>
      <c r="FB10" s="26"/>
      <c r="FC10" s="26"/>
      <c r="FD10" s="26"/>
      <c r="FE10" s="56"/>
      <c r="FF10" s="11">
        <v>33</v>
      </c>
      <c r="FG10" s="26">
        <v>29559</v>
      </c>
      <c r="FH10" s="26">
        <v>6879</v>
      </c>
      <c r="FI10" s="26">
        <v>-192</v>
      </c>
      <c r="FJ10" s="56">
        <v>0.58160000000000001</v>
      </c>
      <c r="FK10" s="26"/>
      <c r="FL10" s="26"/>
      <c r="FM10" s="26"/>
      <c r="FN10" s="26"/>
      <c r="FO10" s="56"/>
    </row>
    <row r="11" spans="1:171" x14ac:dyDescent="0.25">
      <c r="A11" s="27" t="s">
        <v>196</v>
      </c>
      <c r="B11" s="26"/>
      <c r="C11" s="26"/>
      <c r="D11" s="26"/>
      <c r="E11" s="26"/>
      <c r="F11" s="56"/>
      <c r="G11" s="26"/>
      <c r="H11" s="26"/>
      <c r="I11" s="26"/>
      <c r="J11" s="26"/>
      <c r="K11" s="56"/>
      <c r="L11" s="26"/>
      <c r="M11" s="26"/>
      <c r="N11" s="26"/>
      <c r="O11" s="26"/>
      <c r="P11" s="26"/>
      <c r="Q11" s="26"/>
      <c r="R11" s="26"/>
      <c r="S11" s="26"/>
      <c r="T11" s="26"/>
      <c r="U11" s="5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56"/>
      <c r="AK11" s="11"/>
      <c r="AL11" s="26"/>
      <c r="AM11" s="26"/>
      <c r="AN11" s="26"/>
      <c r="AO11" s="56"/>
      <c r="AP11" s="26"/>
      <c r="AQ11" s="26"/>
      <c r="AR11" s="26"/>
      <c r="AS11" s="26"/>
      <c r="AT11" s="57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>
        <v>15</v>
      </c>
      <c r="BF11" s="26">
        <v>7488</v>
      </c>
      <c r="BG11" s="26">
        <v>2249</v>
      </c>
      <c r="BH11" s="26">
        <v>795</v>
      </c>
      <c r="BI11" s="56">
        <v>0.64029999999999998</v>
      </c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>
        <v>18</v>
      </c>
      <c r="BU11" s="26">
        <v>278</v>
      </c>
      <c r="BV11" s="26">
        <v>5</v>
      </c>
      <c r="BW11" s="26">
        <v>7316</v>
      </c>
      <c r="BX11" s="57">
        <v>6.4600000000000005E-2</v>
      </c>
      <c r="BY11" s="26"/>
      <c r="BZ11" s="26"/>
      <c r="CA11" s="26"/>
      <c r="CB11" s="26"/>
      <c r="CC11" s="56"/>
      <c r="CD11" s="26"/>
      <c r="CE11" s="26"/>
      <c r="CF11" s="26"/>
      <c r="CG11" s="26"/>
      <c r="CH11" s="57"/>
      <c r="CI11" s="26"/>
      <c r="CJ11" s="26"/>
      <c r="CK11" s="26"/>
      <c r="CL11" s="26"/>
      <c r="CM11" s="56"/>
      <c r="CN11" s="26"/>
      <c r="CO11" s="26"/>
      <c r="CP11" s="26"/>
      <c r="CQ11" s="26"/>
      <c r="CR11" s="56"/>
      <c r="CS11" s="26"/>
      <c r="CT11" s="26"/>
      <c r="CU11" s="26"/>
      <c r="CV11" s="26"/>
      <c r="CW11" s="56"/>
      <c r="CX11" s="26"/>
      <c r="CY11" s="26"/>
      <c r="CZ11" s="26"/>
      <c r="DA11" s="26"/>
      <c r="DB11" s="26"/>
      <c r="DC11" s="26"/>
      <c r="DD11" s="26"/>
      <c r="DE11" s="26"/>
      <c r="DF11" s="26"/>
      <c r="DG11" s="56"/>
      <c r="DH11" s="26"/>
      <c r="DI11" s="26">
        <v>2211</v>
      </c>
      <c r="DJ11" s="26"/>
      <c r="DK11" s="26"/>
      <c r="DL11" s="56">
        <v>2.4500000000000001E-2</v>
      </c>
      <c r="DM11" s="26"/>
      <c r="DN11" s="26"/>
      <c r="DO11" s="26"/>
      <c r="DP11" s="26"/>
      <c r="DQ11" s="57"/>
      <c r="DR11" s="26"/>
      <c r="DS11" s="26"/>
      <c r="DT11" s="26"/>
      <c r="DU11" s="26"/>
      <c r="DV11" s="56"/>
      <c r="DW11" s="56"/>
      <c r="DX11" s="56"/>
      <c r="DY11" s="56"/>
      <c r="DZ11" s="56"/>
      <c r="EA11" s="5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56"/>
      <c r="EV11" s="26"/>
      <c r="EW11" s="26"/>
      <c r="EX11" s="26"/>
      <c r="EY11" s="26"/>
      <c r="EZ11" s="56"/>
      <c r="FA11" s="26"/>
      <c r="FB11" s="26"/>
      <c r="FC11" s="26"/>
      <c r="FD11" s="26"/>
      <c r="FE11" s="56"/>
      <c r="FF11" s="11"/>
      <c r="FG11" s="26"/>
      <c r="FH11" s="26"/>
      <c r="FI11" s="26"/>
      <c r="FJ11" s="56"/>
      <c r="FK11" s="26"/>
      <c r="FL11" s="26"/>
      <c r="FM11" s="26"/>
      <c r="FN11" s="26"/>
      <c r="FO11" s="56"/>
    </row>
    <row r="12" spans="1:171" x14ac:dyDescent="0.25">
      <c r="A12" s="26" t="s">
        <v>197</v>
      </c>
      <c r="B12" s="26"/>
      <c r="C12" s="26"/>
      <c r="D12" s="26"/>
      <c r="E12" s="26"/>
      <c r="F12" s="56"/>
      <c r="G12" s="26"/>
      <c r="H12" s="26"/>
      <c r="I12" s="26"/>
      <c r="J12" s="26"/>
      <c r="K12" s="56"/>
      <c r="L12" s="26"/>
      <c r="M12" s="26"/>
      <c r="N12" s="26"/>
      <c r="O12" s="26"/>
      <c r="P12" s="26"/>
      <c r="Q12" s="26"/>
      <c r="R12" s="26"/>
      <c r="S12" s="26"/>
      <c r="T12" s="26"/>
      <c r="U12" s="5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56"/>
      <c r="AK12" s="11"/>
      <c r="AL12" s="26"/>
      <c r="AM12" s="26"/>
      <c r="AN12" s="26"/>
      <c r="AO12" s="56"/>
      <c r="AP12" s="26"/>
      <c r="AQ12" s="26"/>
      <c r="AR12" s="26"/>
      <c r="AS12" s="26"/>
      <c r="AT12" s="57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>
        <v>16</v>
      </c>
      <c r="BP12" s="26"/>
      <c r="BQ12" s="26"/>
      <c r="BR12" s="26">
        <v>3290</v>
      </c>
      <c r="BS12" s="26">
        <v>3.8600000000000002E-2</v>
      </c>
      <c r="BT12" s="26"/>
      <c r="BU12" s="26"/>
      <c r="BV12" s="26"/>
      <c r="BW12" s="26"/>
      <c r="BX12" s="26"/>
      <c r="BY12" s="26">
        <v>13</v>
      </c>
      <c r="BZ12" s="26">
        <v>1</v>
      </c>
      <c r="CA12" s="26"/>
      <c r="CB12" s="26">
        <v>1771</v>
      </c>
      <c r="CC12" s="56">
        <v>0.03</v>
      </c>
      <c r="CD12" s="26">
        <v>4</v>
      </c>
      <c r="CE12" s="26"/>
      <c r="CF12" s="26"/>
      <c r="CG12" s="26">
        <v>38</v>
      </c>
      <c r="CH12" s="57">
        <v>3.1E-2</v>
      </c>
      <c r="CI12" s="26"/>
      <c r="CJ12" s="26"/>
      <c r="CK12" s="26"/>
      <c r="CL12" s="26"/>
      <c r="CM12" s="56"/>
      <c r="CN12" s="26">
        <v>1</v>
      </c>
      <c r="CO12" s="26"/>
      <c r="CP12" s="26"/>
      <c r="CQ12" s="26">
        <v>10</v>
      </c>
      <c r="CR12" s="56">
        <v>8.0000000000000004E-4</v>
      </c>
      <c r="CS12" s="26"/>
      <c r="CT12" s="26"/>
      <c r="CU12" s="26"/>
      <c r="CV12" s="26"/>
      <c r="CW12" s="56"/>
      <c r="CX12" s="26"/>
      <c r="CY12" s="26"/>
      <c r="CZ12" s="26"/>
      <c r="DA12" s="26"/>
      <c r="DB12" s="26"/>
      <c r="DC12" s="26"/>
      <c r="DD12" s="26"/>
      <c r="DE12" s="26"/>
      <c r="DF12" s="26"/>
      <c r="DG12" s="56"/>
      <c r="DH12" s="26"/>
      <c r="DI12" s="26">
        <v>59698</v>
      </c>
      <c r="DJ12" s="26">
        <v>5494</v>
      </c>
      <c r="DK12" s="26">
        <v>2385</v>
      </c>
      <c r="DL12" s="56">
        <v>0.74909999999999999</v>
      </c>
      <c r="DM12" s="26"/>
      <c r="DN12" s="26"/>
      <c r="DO12" s="26"/>
      <c r="DP12" s="26"/>
      <c r="DQ12" s="57"/>
      <c r="DR12" s="26">
        <v>25</v>
      </c>
      <c r="DS12" s="26">
        <v>3716.34</v>
      </c>
      <c r="DT12" s="26">
        <v>251.9</v>
      </c>
      <c r="DU12" s="26">
        <v>3592.25</v>
      </c>
      <c r="DV12" s="56">
        <v>0.1</v>
      </c>
      <c r="DW12" s="56"/>
      <c r="DX12" s="56"/>
      <c r="DY12" s="56"/>
      <c r="DZ12" s="56"/>
      <c r="EA12" s="5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>
        <v>13</v>
      </c>
      <c r="EM12" s="26"/>
      <c r="EN12" s="26"/>
      <c r="EO12" s="26">
        <v>1172.42</v>
      </c>
      <c r="EP12" s="56">
        <v>1.8200000000000001E-2</v>
      </c>
      <c r="EQ12" s="26"/>
      <c r="ER12" s="26"/>
      <c r="ES12" s="26"/>
      <c r="ET12" s="26"/>
      <c r="EU12" s="56"/>
      <c r="EV12" s="26"/>
      <c r="EW12" s="26"/>
      <c r="EX12" s="26"/>
      <c r="EY12" s="26"/>
      <c r="EZ12" s="56"/>
      <c r="FA12" s="26">
        <v>6</v>
      </c>
      <c r="FB12" s="26">
        <v>127</v>
      </c>
      <c r="FC12" s="26">
        <v>37</v>
      </c>
      <c r="FD12" s="26">
        <v>39</v>
      </c>
      <c r="FE12" s="56">
        <v>1.0500000000000001E-2</v>
      </c>
      <c r="FF12" s="11"/>
      <c r="FG12" s="26"/>
      <c r="FH12" s="26"/>
      <c r="FI12" s="26"/>
      <c r="FJ12" s="56"/>
      <c r="FK12" s="26"/>
      <c r="FL12" s="26"/>
      <c r="FM12" s="26"/>
      <c r="FN12" s="26"/>
      <c r="FO12" s="56"/>
    </row>
    <row r="13" spans="1:171" x14ac:dyDescent="0.25">
      <c r="A13" s="26" t="s">
        <v>198</v>
      </c>
      <c r="B13" s="26"/>
      <c r="C13" s="26"/>
      <c r="D13" s="26"/>
      <c r="E13" s="26"/>
      <c r="F13" s="56"/>
      <c r="G13" s="26"/>
      <c r="H13" s="26"/>
      <c r="I13" s="26"/>
      <c r="J13" s="26"/>
      <c r="K13" s="56"/>
      <c r="L13" s="26"/>
      <c r="M13" s="26"/>
      <c r="N13" s="26"/>
      <c r="O13" s="26"/>
      <c r="P13" s="26"/>
      <c r="Q13" s="26"/>
      <c r="R13" s="26"/>
      <c r="S13" s="26"/>
      <c r="T13" s="26"/>
      <c r="U13" s="5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56"/>
      <c r="AK13" s="11"/>
      <c r="AL13" s="26"/>
      <c r="AM13" s="26"/>
      <c r="AN13" s="26"/>
      <c r="AO13" s="56"/>
      <c r="AP13" s="26"/>
      <c r="AQ13" s="26"/>
      <c r="AR13" s="26"/>
      <c r="AS13" s="26"/>
      <c r="AT13" s="57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56"/>
      <c r="CN13" s="26"/>
      <c r="CO13" s="26"/>
      <c r="CP13" s="26"/>
      <c r="CQ13" s="26"/>
      <c r="CR13" s="56"/>
      <c r="CS13" s="26"/>
      <c r="CT13" s="26"/>
      <c r="CU13" s="26"/>
      <c r="CV13" s="26"/>
      <c r="CW13" s="56"/>
      <c r="CX13" s="26"/>
      <c r="CY13" s="26"/>
      <c r="CZ13" s="26"/>
      <c r="DA13" s="26"/>
      <c r="DB13" s="26"/>
      <c r="DC13" s="26"/>
      <c r="DD13" s="26"/>
      <c r="DE13" s="26"/>
      <c r="DF13" s="26"/>
      <c r="DG13" s="56"/>
      <c r="DH13" s="26"/>
      <c r="DI13" s="26">
        <v>767</v>
      </c>
      <c r="DJ13" s="26">
        <v>44</v>
      </c>
      <c r="DK13" s="26"/>
      <c r="DL13" s="56">
        <v>8.9999999999999993E-3</v>
      </c>
      <c r="DM13" s="26"/>
      <c r="DN13" s="26"/>
      <c r="DO13" s="26"/>
      <c r="DP13" s="26"/>
      <c r="DQ13" s="57"/>
      <c r="DR13" s="26"/>
      <c r="DS13" s="26"/>
      <c r="DT13" s="26"/>
      <c r="DU13" s="26"/>
      <c r="DV13" s="56"/>
      <c r="DW13" s="56"/>
      <c r="DX13" s="56"/>
      <c r="DY13" s="56"/>
      <c r="DZ13" s="56"/>
      <c r="EA13" s="5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56"/>
      <c r="EV13" s="26"/>
      <c r="EW13" s="26"/>
      <c r="EX13" s="26"/>
      <c r="EY13" s="26"/>
      <c r="EZ13" s="56"/>
      <c r="FA13" s="26"/>
      <c r="FB13" s="26"/>
      <c r="FC13" s="26"/>
      <c r="FD13" s="26"/>
      <c r="FE13" s="56"/>
      <c r="FF13" s="11"/>
      <c r="FG13" s="26"/>
      <c r="FH13" s="26"/>
      <c r="FI13" s="26"/>
      <c r="FJ13" s="56"/>
      <c r="FK13" s="26"/>
      <c r="FL13" s="26"/>
      <c r="FM13" s="26"/>
      <c r="FN13" s="26"/>
      <c r="FO13" s="56"/>
    </row>
    <row r="14" spans="1:171" s="62" customFormat="1" x14ac:dyDescent="0.25">
      <c r="A14" s="28" t="s">
        <v>171</v>
      </c>
      <c r="B14" s="28">
        <f t="shared" ref="B14:U14" si="0">SUM(B5:B13)</f>
        <v>3</v>
      </c>
      <c r="C14" s="28">
        <f t="shared" si="0"/>
        <v>3201.56</v>
      </c>
      <c r="D14" s="28">
        <f t="shared" si="0"/>
        <v>54</v>
      </c>
      <c r="E14" s="28">
        <f t="shared" si="0"/>
        <v>0</v>
      </c>
      <c r="F14" s="58">
        <f t="shared" si="0"/>
        <v>1</v>
      </c>
      <c r="G14" s="28">
        <f t="shared" si="0"/>
        <v>4</v>
      </c>
      <c r="H14" s="28">
        <f t="shared" si="0"/>
        <v>20.46</v>
      </c>
      <c r="I14" s="28">
        <f t="shared" si="0"/>
        <v>132.11000000000001</v>
      </c>
      <c r="J14" s="28">
        <f t="shared" si="0"/>
        <v>0</v>
      </c>
      <c r="K14" s="58">
        <f t="shared" si="0"/>
        <v>1</v>
      </c>
      <c r="L14" s="48">
        <f t="shared" si="0"/>
        <v>58</v>
      </c>
      <c r="M14" s="28">
        <f t="shared" si="0"/>
        <v>7324.87</v>
      </c>
      <c r="N14" s="28">
        <f t="shared" si="0"/>
        <v>244.16</v>
      </c>
      <c r="O14" s="28">
        <f t="shared" si="0"/>
        <v>0</v>
      </c>
      <c r="P14" s="58">
        <f t="shared" si="0"/>
        <v>1</v>
      </c>
      <c r="Q14" s="28">
        <f t="shared" si="0"/>
        <v>4</v>
      </c>
      <c r="R14" s="28">
        <f t="shared" si="0"/>
        <v>10433</v>
      </c>
      <c r="S14" s="28">
        <f t="shared" si="0"/>
        <v>257</v>
      </c>
      <c r="T14" s="28">
        <f t="shared" si="0"/>
        <v>0</v>
      </c>
      <c r="U14" s="58">
        <f t="shared" si="0"/>
        <v>1</v>
      </c>
      <c r="V14" s="28">
        <f>SUM(V5:V13)</f>
        <v>154</v>
      </c>
      <c r="W14" s="28">
        <f t="shared" ref="W14:CH14" si="1">SUM(W5:W13)</f>
        <v>77827</v>
      </c>
      <c r="X14" s="28">
        <f t="shared" si="1"/>
        <v>4444</v>
      </c>
      <c r="Y14" s="28">
        <f t="shared" si="1"/>
        <v>30395</v>
      </c>
      <c r="Z14" s="61">
        <v>1</v>
      </c>
      <c r="AA14" s="28">
        <f t="shared" si="1"/>
        <v>53</v>
      </c>
      <c r="AB14" s="28">
        <f t="shared" si="1"/>
        <v>12010.71542</v>
      </c>
      <c r="AC14" s="28">
        <f t="shared" si="1"/>
        <v>1300.33474</v>
      </c>
      <c r="AD14" s="28">
        <f t="shared" si="1"/>
        <v>526.39087000000006</v>
      </c>
      <c r="AE14" s="61">
        <v>1</v>
      </c>
      <c r="AF14" s="28">
        <f t="shared" si="1"/>
        <v>0</v>
      </c>
      <c r="AG14" s="28">
        <f t="shared" si="1"/>
        <v>2724.7999999999997</v>
      </c>
      <c r="AH14" s="28">
        <f t="shared" si="1"/>
        <v>397.13</v>
      </c>
      <c r="AI14" s="28">
        <f t="shared" si="1"/>
        <v>1847.23</v>
      </c>
      <c r="AJ14" s="58">
        <f t="shared" si="1"/>
        <v>1</v>
      </c>
      <c r="AK14" s="48">
        <f t="shared" si="1"/>
        <v>2</v>
      </c>
      <c r="AL14" s="28">
        <f t="shared" si="1"/>
        <v>639.7700000000001</v>
      </c>
      <c r="AM14" s="28">
        <f t="shared" si="1"/>
        <v>0</v>
      </c>
      <c r="AN14" s="28">
        <f t="shared" si="1"/>
        <v>-3.59</v>
      </c>
      <c r="AO14" s="58">
        <f t="shared" si="1"/>
        <v>1</v>
      </c>
      <c r="AP14" s="28">
        <f t="shared" si="1"/>
        <v>13</v>
      </c>
      <c r="AQ14" s="28">
        <f t="shared" si="1"/>
        <v>972.12</v>
      </c>
      <c r="AR14" s="28">
        <f t="shared" si="1"/>
        <v>121.05</v>
      </c>
      <c r="AS14" s="28">
        <f t="shared" si="1"/>
        <v>0</v>
      </c>
      <c r="AT14" s="61">
        <f t="shared" si="1"/>
        <v>0.99999999999999989</v>
      </c>
      <c r="AU14" s="28">
        <f t="shared" si="1"/>
        <v>0</v>
      </c>
      <c r="AV14" s="28">
        <f t="shared" si="1"/>
        <v>0</v>
      </c>
      <c r="AW14" s="28">
        <f t="shared" si="1"/>
        <v>0</v>
      </c>
      <c r="AX14" s="28">
        <f t="shared" si="1"/>
        <v>0</v>
      </c>
      <c r="AY14" s="28">
        <f t="shared" si="1"/>
        <v>0</v>
      </c>
      <c r="AZ14" s="28">
        <f t="shared" si="1"/>
        <v>11</v>
      </c>
      <c r="BA14" s="28">
        <f t="shared" si="1"/>
        <v>6437.3200000000006</v>
      </c>
      <c r="BB14" s="28">
        <f t="shared" si="1"/>
        <v>2002.03</v>
      </c>
      <c r="BC14" s="28">
        <f t="shared" si="1"/>
        <v>0</v>
      </c>
      <c r="BD14" s="28">
        <f t="shared" si="1"/>
        <v>1</v>
      </c>
      <c r="BE14" s="28">
        <f t="shared" si="1"/>
        <v>89</v>
      </c>
      <c r="BF14" s="28">
        <f t="shared" si="1"/>
        <v>12101</v>
      </c>
      <c r="BG14" s="28">
        <f t="shared" si="1"/>
        <v>2912</v>
      </c>
      <c r="BH14" s="28">
        <f t="shared" si="1"/>
        <v>1436</v>
      </c>
      <c r="BI14" s="58">
        <f t="shared" si="1"/>
        <v>1</v>
      </c>
      <c r="BJ14" s="28">
        <f t="shared" si="1"/>
        <v>20</v>
      </c>
      <c r="BK14" s="28">
        <f t="shared" si="1"/>
        <v>9931</v>
      </c>
      <c r="BL14" s="28">
        <f t="shared" si="1"/>
        <v>235</v>
      </c>
      <c r="BM14" s="28">
        <f t="shared" si="1"/>
        <v>110</v>
      </c>
      <c r="BN14" s="61">
        <f t="shared" si="1"/>
        <v>1</v>
      </c>
      <c r="BO14" s="28">
        <f t="shared" si="1"/>
        <v>195</v>
      </c>
      <c r="BP14" s="28">
        <f t="shared" si="1"/>
        <v>71755.799999999988</v>
      </c>
      <c r="BQ14" s="28">
        <f t="shared" si="1"/>
        <v>3699.4</v>
      </c>
      <c r="BR14" s="28">
        <f t="shared" si="1"/>
        <v>9781.2999999999993</v>
      </c>
      <c r="BS14" s="61">
        <f t="shared" si="1"/>
        <v>0.99999999999999989</v>
      </c>
      <c r="BT14" s="28">
        <f t="shared" si="1"/>
        <v>209</v>
      </c>
      <c r="BU14" s="28">
        <f t="shared" si="1"/>
        <v>89152</v>
      </c>
      <c r="BV14" s="28">
        <f t="shared" si="1"/>
        <v>6214</v>
      </c>
      <c r="BW14" s="28">
        <f t="shared" si="1"/>
        <v>22200</v>
      </c>
      <c r="BX14" s="61">
        <f t="shared" si="1"/>
        <v>1</v>
      </c>
      <c r="BY14" s="28">
        <f t="shared" si="1"/>
        <v>169</v>
      </c>
      <c r="BZ14" s="28">
        <f t="shared" si="1"/>
        <v>46093</v>
      </c>
      <c r="CA14" s="28">
        <f t="shared" si="1"/>
        <v>1459</v>
      </c>
      <c r="CB14" s="28">
        <f t="shared" si="1"/>
        <v>10923</v>
      </c>
      <c r="CC14" s="28">
        <f t="shared" si="1"/>
        <v>1.01</v>
      </c>
      <c r="CD14" s="28">
        <f t="shared" si="1"/>
        <v>9</v>
      </c>
      <c r="CE14" s="28">
        <f t="shared" si="1"/>
        <v>1102</v>
      </c>
      <c r="CF14" s="28">
        <f t="shared" si="1"/>
        <v>102</v>
      </c>
      <c r="CG14" s="28">
        <f t="shared" si="1"/>
        <v>39</v>
      </c>
      <c r="CH14" s="61">
        <f t="shared" si="1"/>
        <v>1</v>
      </c>
      <c r="CI14" s="28">
        <f t="shared" ref="CI14:EY14" si="2">SUM(CI5:CI13)</f>
        <v>22</v>
      </c>
      <c r="CJ14" s="28">
        <f t="shared" si="2"/>
        <v>8</v>
      </c>
      <c r="CK14" s="28">
        <f t="shared" si="2"/>
        <v>832</v>
      </c>
      <c r="CL14" s="28">
        <f t="shared" si="2"/>
        <v>12</v>
      </c>
      <c r="CM14" s="58">
        <f t="shared" si="2"/>
        <v>1</v>
      </c>
      <c r="CN14" s="28">
        <f t="shared" si="2"/>
        <v>42</v>
      </c>
      <c r="CO14" s="28">
        <f t="shared" si="2"/>
        <v>11773</v>
      </c>
      <c r="CP14" s="28">
        <f t="shared" si="2"/>
        <v>207</v>
      </c>
      <c r="CQ14" s="28">
        <f t="shared" si="2"/>
        <v>322</v>
      </c>
      <c r="CR14" s="58">
        <f t="shared" si="2"/>
        <v>1</v>
      </c>
      <c r="CS14" s="28">
        <f t="shared" si="2"/>
        <v>4</v>
      </c>
      <c r="CT14" s="28">
        <f t="shared" si="2"/>
        <v>5747</v>
      </c>
      <c r="CU14" s="28">
        <f t="shared" si="2"/>
        <v>36.659999999999997</v>
      </c>
      <c r="CV14" s="28">
        <f t="shared" si="2"/>
        <v>0</v>
      </c>
      <c r="CW14" s="58">
        <f t="shared" si="2"/>
        <v>1</v>
      </c>
      <c r="CX14" s="28">
        <f t="shared" si="2"/>
        <v>0</v>
      </c>
      <c r="CY14" s="28">
        <f t="shared" si="2"/>
        <v>43482</v>
      </c>
      <c r="CZ14" s="28">
        <f t="shared" si="2"/>
        <v>11641</v>
      </c>
      <c r="DA14" s="28">
        <f t="shared" si="2"/>
        <v>23414</v>
      </c>
      <c r="DB14" s="79">
        <f t="shared" si="2"/>
        <v>1</v>
      </c>
      <c r="DC14" s="28">
        <f t="shared" si="2"/>
        <v>330</v>
      </c>
      <c r="DD14" s="28">
        <f t="shared" si="2"/>
        <v>74906.320000000007</v>
      </c>
      <c r="DE14" s="28">
        <f t="shared" si="2"/>
        <v>12342.76</v>
      </c>
      <c r="DF14" s="28">
        <f t="shared" si="2"/>
        <v>47425.51</v>
      </c>
      <c r="DG14" s="58">
        <f t="shared" si="2"/>
        <v>1</v>
      </c>
      <c r="DH14" s="28">
        <f t="shared" si="2"/>
        <v>0</v>
      </c>
      <c r="DI14" s="28">
        <f t="shared" si="2"/>
        <v>76327</v>
      </c>
      <c r="DJ14" s="28">
        <f t="shared" si="2"/>
        <v>10300</v>
      </c>
      <c r="DK14" s="28">
        <f t="shared" si="2"/>
        <v>3579</v>
      </c>
      <c r="DL14" s="58">
        <f t="shared" si="2"/>
        <v>1</v>
      </c>
      <c r="DM14" s="28">
        <f t="shared" si="2"/>
        <v>8</v>
      </c>
      <c r="DN14" s="28">
        <f t="shared" si="2"/>
        <v>4.16</v>
      </c>
      <c r="DO14" s="28">
        <f t="shared" si="2"/>
        <v>504.72</v>
      </c>
      <c r="DP14" s="28">
        <f t="shared" si="2"/>
        <v>242.01</v>
      </c>
      <c r="DQ14" s="61">
        <f t="shared" si="2"/>
        <v>1</v>
      </c>
      <c r="DR14" s="28">
        <f t="shared" si="2"/>
        <v>189</v>
      </c>
      <c r="DS14" s="28">
        <f t="shared" si="2"/>
        <v>68453.61</v>
      </c>
      <c r="DT14" s="28">
        <f t="shared" si="2"/>
        <v>2414.1</v>
      </c>
      <c r="DU14" s="28">
        <f t="shared" si="2"/>
        <v>6804.68</v>
      </c>
      <c r="DV14" s="58">
        <f t="shared" si="2"/>
        <v>1.0000000000000002</v>
      </c>
      <c r="DW14" s="28">
        <f t="shared" ref="DW14" si="3">SUM(DW5:DW13)</f>
        <v>2</v>
      </c>
      <c r="DX14" s="28">
        <f t="shared" ref="DX14" si="4">SUM(DX5:DX13)</f>
        <v>123</v>
      </c>
      <c r="DY14" s="28">
        <f t="shared" ref="DY14" si="5">SUM(DY5:DY13)</f>
        <v>0</v>
      </c>
      <c r="DZ14" s="28">
        <f t="shared" ref="DZ14" si="6">SUM(DZ5:DZ13)</f>
        <v>0</v>
      </c>
      <c r="EA14" s="58">
        <f t="shared" ref="EA14" si="7">SUM(EA5:EA13)</f>
        <v>1</v>
      </c>
      <c r="EB14" s="28">
        <f t="shared" si="2"/>
        <v>1</v>
      </c>
      <c r="EC14" s="28">
        <f t="shared" si="2"/>
        <v>21865.7</v>
      </c>
      <c r="ED14" s="28">
        <f t="shared" si="2"/>
        <v>225</v>
      </c>
      <c r="EE14" s="28">
        <f t="shared" si="2"/>
        <v>10.9</v>
      </c>
      <c r="EF14" s="61">
        <f t="shared" si="2"/>
        <v>1</v>
      </c>
      <c r="EG14" s="28">
        <f t="shared" si="2"/>
        <v>49</v>
      </c>
      <c r="EH14" s="28">
        <f t="shared" si="2"/>
        <v>19205</v>
      </c>
      <c r="EI14" s="28">
        <f t="shared" si="2"/>
        <v>2017</v>
      </c>
      <c r="EJ14" s="28">
        <f t="shared" si="2"/>
        <v>837</v>
      </c>
      <c r="EK14" s="58">
        <f t="shared" si="2"/>
        <v>1</v>
      </c>
      <c r="EL14" s="28">
        <f t="shared" si="2"/>
        <v>115</v>
      </c>
      <c r="EM14" s="28">
        <f t="shared" si="2"/>
        <v>59539.729999999996</v>
      </c>
      <c r="EN14" s="28">
        <f t="shared" si="2"/>
        <v>3092.6899999999996</v>
      </c>
      <c r="EO14" s="28">
        <f t="shared" si="2"/>
        <v>1844.8600000000001</v>
      </c>
      <c r="EP14" s="58">
        <f t="shared" si="2"/>
        <v>1</v>
      </c>
      <c r="EQ14" s="28">
        <f t="shared" si="2"/>
        <v>20</v>
      </c>
      <c r="ER14" s="28">
        <f t="shared" si="2"/>
        <v>3153.36</v>
      </c>
      <c r="ES14" s="28">
        <f t="shared" si="2"/>
        <v>410.37</v>
      </c>
      <c r="ET14" s="28">
        <f t="shared" si="2"/>
        <v>101.38</v>
      </c>
      <c r="EU14" s="58">
        <f t="shared" si="2"/>
        <v>1</v>
      </c>
      <c r="EV14" s="28">
        <f t="shared" si="2"/>
        <v>3</v>
      </c>
      <c r="EW14" s="28">
        <f t="shared" si="2"/>
        <v>27300.960000000003</v>
      </c>
      <c r="EX14" s="28">
        <f t="shared" si="2"/>
        <v>87.86</v>
      </c>
      <c r="EY14" s="28">
        <f t="shared" si="2"/>
        <v>0</v>
      </c>
      <c r="EZ14" s="58">
        <f t="shared" ref="EZ14:FO14" si="8">SUM(EZ5:EZ13)</f>
        <v>1</v>
      </c>
      <c r="FA14" s="28">
        <f t="shared" si="8"/>
        <v>151</v>
      </c>
      <c r="FB14" s="28">
        <f t="shared" si="8"/>
        <v>104460</v>
      </c>
      <c r="FC14" s="28">
        <f t="shared" si="8"/>
        <v>4726</v>
      </c>
      <c r="FD14" s="28">
        <f t="shared" si="8"/>
        <v>11282</v>
      </c>
      <c r="FE14" s="58">
        <f t="shared" si="8"/>
        <v>1</v>
      </c>
      <c r="FF14" s="48">
        <f t="shared" si="8"/>
        <v>382</v>
      </c>
      <c r="FG14" s="28">
        <f t="shared" si="8"/>
        <v>37399</v>
      </c>
      <c r="FH14" s="28">
        <f t="shared" si="8"/>
        <v>13321</v>
      </c>
      <c r="FI14" s="28">
        <f t="shared" si="8"/>
        <v>11605</v>
      </c>
      <c r="FJ14" s="58">
        <f t="shared" si="8"/>
        <v>1</v>
      </c>
      <c r="FK14" s="28">
        <f t="shared" si="8"/>
        <v>74</v>
      </c>
      <c r="FL14" s="28">
        <f t="shared" si="8"/>
        <v>3670</v>
      </c>
      <c r="FM14" s="28">
        <f t="shared" si="8"/>
        <v>3013</v>
      </c>
      <c r="FN14" s="28">
        <f t="shared" si="8"/>
        <v>5391</v>
      </c>
      <c r="FO14" s="58">
        <f t="shared" si="8"/>
        <v>1</v>
      </c>
    </row>
  </sheetData>
  <mergeCells count="137">
    <mergeCell ref="FL3:FN3"/>
    <mergeCell ref="FO3:FO4"/>
    <mergeCell ref="A3:A4"/>
    <mergeCell ref="FB3:FD3"/>
    <mergeCell ref="FE3:FE4"/>
    <mergeCell ref="FF3:FF4"/>
    <mergeCell ref="FG3:FI3"/>
    <mergeCell ref="FJ3:FJ4"/>
    <mergeCell ref="FK3:FK4"/>
    <mergeCell ref="ER3:ET3"/>
    <mergeCell ref="EU3:EU4"/>
    <mergeCell ref="EV3:EV4"/>
    <mergeCell ref="EW3:EY3"/>
    <mergeCell ref="EZ3:EZ4"/>
    <mergeCell ref="FA3:FA4"/>
    <mergeCell ref="EH3:EJ3"/>
    <mergeCell ref="EK3:EK4"/>
    <mergeCell ref="EL3:EL4"/>
    <mergeCell ref="EM3:EO3"/>
    <mergeCell ref="EP3:EP4"/>
    <mergeCell ref="EQ3:EQ4"/>
    <mergeCell ref="DS3:DU3"/>
    <mergeCell ref="DV3:DV4"/>
    <mergeCell ref="EB3:EB4"/>
    <mergeCell ref="EC3:EE3"/>
    <mergeCell ref="EF3:EF4"/>
    <mergeCell ref="EG3:EG4"/>
    <mergeCell ref="DI3:DK3"/>
    <mergeCell ref="DL3:DL4"/>
    <mergeCell ref="DM3:DM4"/>
    <mergeCell ref="DN3:DP3"/>
    <mergeCell ref="DQ3:DQ4"/>
    <mergeCell ref="DR3:DR4"/>
    <mergeCell ref="DW3:DW4"/>
    <mergeCell ref="DX3:DZ3"/>
    <mergeCell ref="EA3:EA4"/>
    <mergeCell ref="CY3:DA3"/>
    <mergeCell ref="DB3:DB4"/>
    <mergeCell ref="DC3:DC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AQ3:AS3"/>
    <mergeCell ref="AT3:AT4"/>
    <mergeCell ref="AU3:AU4"/>
    <mergeCell ref="AV3:AX3"/>
    <mergeCell ref="AY3:AY4"/>
    <mergeCell ref="AZ3:AZ4"/>
    <mergeCell ref="AG3:AI3"/>
    <mergeCell ref="AJ3:AJ4"/>
    <mergeCell ref="AK3:AK4"/>
    <mergeCell ref="AL3:AN3"/>
    <mergeCell ref="AO3:AO4"/>
    <mergeCell ref="AP3:AP4"/>
    <mergeCell ref="AA3:AA4"/>
    <mergeCell ref="AB3:AD3"/>
    <mergeCell ref="AE3:AE4"/>
    <mergeCell ref="AF3:AF4"/>
    <mergeCell ref="M3:O3"/>
    <mergeCell ref="P3:P4"/>
    <mergeCell ref="Q3:Q4"/>
    <mergeCell ref="R3:T3"/>
    <mergeCell ref="U3:U4"/>
    <mergeCell ref="V3:V4"/>
    <mergeCell ref="FK2:FO2"/>
    <mergeCell ref="B3:B4"/>
    <mergeCell ref="C3:E3"/>
    <mergeCell ref="F3:F4"/>
    <mergeCell ref="G3:G4"/>
    <mergeCell ref="H3:J3"/>
    <mergeCell ref="K3:K4"/>
    <mergeCell ref="L3:L4"/>
    <mergeCell ref="DR2:DV2"/>
    <mergeCell ref="EB2:EF2"/>
    <mergeCell ref="EG2:EK2"/>
    <mergeCell ref="EL2:EP2"/>
    <mergeCell ref="EQ2:EU2"/>
    <mergeCell ref="EV2:EZ2"/>
    <mergeCell ref="CN2:CR2"/>
    <mergeCell ref="CS2:CW2"/>
    <mergeCell ref="CX2:DB2"/>
    <mergeCell ref="DC2:DG2"/>
    <mergeCell ref="DH2:DL2"/>
    <mergeCell ref="DM2:DQ2"/>
    <mergeCell ref="BJ2:BN2"/>
    <mergeCell ref="BO2:BS2"/>
    <mergeCell ref="W3:Y3"/>
    <mergeCell ref="Z3:Z4"/>
    <mergeCell ref="CI2:CM2"/>
    <mergeCell ref="AF2:AJ2"/>
    <mergeCell ref="AK2:AO2"/>
    <mergeCell ref="AP2:AT2"/>
    <mergeCell ref="AU2:AY2"/>
    <mergeCell ref="AZ2:BD2"/>
    <mergeCell ref="BE2:BI2"/>
    <mergeCell ref="FA2:FE2"/>
    <mergeCell ref="FF2:FJ2"/>
    <mergeCell ref="DW2:EA2"/>
    <mergeCell ref="B2:F2"/>
    <mergeCell ref="G2:K2"/>
    <mergeCell ref="L2:P2"/>
    <mergeCell ref="Q2:U2"/>
    <mergeCell ref="V2:Z2"/>
    <mergeCell ref="AA2:AE2"/>
    <mergeCell ref="BT2:BX2"/>
    <mergeCell ref="BY2:CC2"/>
    <mergeCell ref="CD2:C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103" width="10.85546875" style="8" customWidth="1"/>
    <col min="104" max="16384" width="9.140625" style="8"/>
  </cols>
  <sheetData>
    <row r="1" spans="1:103" ht="18.75" x14ac:dyDescent="0.3">
      <c r="A1" s="10" t="s">
        <v>220</v>
      </c>
    </row>
    <row r="2" spans="1:103" x14ac:dyDescent="0.25">
      <c r="A2" s="8" t="s">
        <v>182</v>
      </c>
    </row>
    <row r="3" spans="1:103" x14ac:dyDescent="0.25">
      <c r="A3" s="1" t="s">
        <v>0</v>
      </c>
      <c r="B3" s="90" t="s">
        <v>1</v>
      </c>
      <c r="C3" s="90"/>
      <c r="D3" s="90"/>
      <c r="E3" s="90" t="s">
        <v>2</v>
      </c>
      <c r="F3" s="90"/>
      <c r="G3" s="90"/>
      <c r="H3" s="90" t="s">
        <v>3</v>
      </c>
      <c r="I3" s="90"/>
      <c r="J3" s="90"/>
      <c r="K3" s="90" t="s">
        <v>4</v>
      </c>
      <c r="L3" s="90"/>
      <c r="M3" s="90"/>
      <c r="N3" s="83" t="s">
        <v>5</v>
      </c>
      <c r="O3" s="83"/>
      <c r="P3" s="83"/>
      <c r="Q3" s="90" t="s">
        <v>6</v>
      </c>
      <c r="R3" s="90"/>
      <c r="S3" s="90"/>
      <c r="T3" s="90" t="s">
        <v>7</v>
      </c>
      <c r="U3" s="90"/>
      <c r="V3" s="90"/>
      <c r="W3" s="90" t="s">
        <v>8</v>
      </c>
      <c r="X3" s="90"/>
      <c r="Y3" s="90"/>
      <c r="Z3" s="90" t="s">
        <v>9</v>
      </c>
      <c r="AA3" s="90"/>
      <c r="AB3" s="90"/>
      <c r="AC3" s="90" t="s">
        <v>10</v>
      </c>
      <c r="AD3" s="90"/>
      <c r="AE3" s="90"/>
      <c r="AF3" s="90" t="s">
        <v>11</v>
      </c>
      <c r="AG3" s="90"/>
      <c r="AH3" s="90"/>
      <c r="AI3" s="90" t="s">
        <v>12</v>
      </c>
      <c r="AJ3" s="90"/>
      <c r="AK3" s="90"/>
      <c r="AL3" s="90" t="s">
        <v>13</v>
      </c>
      <c r="AM3" s="90"/>
      <c r="AN3" s="90"/>
      <c r="AO3" s="90" t="s">
        <v>14</v>
      </c>
      <c r="AP3" s="90"/>
      <c r="AQ3" s="90"/>
      <c r="AR3" s="90" t="s">
        <v>15</v>
      </c>
      <c r="AS3" s="90"/>
      <c r="AT3" s="90"/>
      <c r="AU3" s="90" t="s">
        <v>16</v>
      </c>
      <c r="AV3" s="90"/>
      <c r="AW3" s="90"/>
      <c r="AX3" s="90" t="s">
        <v>17</v>
      </c>
      <c r="AY3" s="90"/>
      <c r="AZ3" s="90"/>
      <c r="BA3" s="90" t="s">
        <v>18</v>
      </c>
      <c r="BB3" s="90"/>
      <c r="BC3" s="90"/>
      <c r="BD3" s="90" t="s">
        <v>19</v>
      </c>
      <c r="BE3" s="90"/>
      <c r="BF3" s="90"/>
      <c r="BG3" s="90" t="s">
        <v>20</v>
      </c>
      <c r="BH3" s="90"/>
      <c r="BI3" s="90"/>
      <c r="BJ3" s="90" t="s">
        <v>21</v>
      </c>
      <c r="BK3" s="90"/>
      <c r="BL3" s="90"/>
      <c r="BM3" s="90" t="s">
        <v>22</v>
      </c>
      <c r="BN3" s="90"/>
      <c r="BO3" s="90"/>
      <c r="BP3" s="90" t="s">
        <v>23</v>
      </c>
      <c r="BQ3" s="90"/>
      <c r="BR3" s="90"/>
      <c r="BS3" s="90" t="s">
        <v>24</v>
      </c>
      <c r="BT3" s="90"/>
      <c r="BU3" s="90"/>
      <c r="BV3" s="90" t="s">
        <v>25</v>
      </c>
      <c r="BW3" s="90"/>
      <c r="BX3" s="90"/>
      <c r="BY3" s="91" t="s">
        <v>26</v>
      </c>
      <c r="BZ3" s="92"/>
      <c r="CA3" s="93"/>
      <c r="CB3" s="90" t="s">
        <v>27</v>
      </c>
      <c r="CC3" s="90"/>
      <c r="CD3" s="90"/>
      <c r="CE3" s="90" t="s">
        <v>28</v>
      </c>
      <c r="CF3" s="90"/>
      <c r="CG3" s="90"/>
      <c r="CH3" s="90" t="s">
        <v>29</v>
      </c>
      <c r="CI3" s="90"/>
      <c r="CJ3" s="90"/>
      <c r="CK3" s="90" t="s">
        <v>30</v>
      </c>
      <c r="CL3" s="90"/>
      <c r="CM3" s="90"/>
      <c r="CN3" s="90" t="s">
        <v>31</v>
      </c>
      <c r="CO3" s="90"/>
      <c r="CP3" s="90"/>
      <c r="CQ3" s="90" t="s">
        <v>32</v>
      </c>
      <c r="CR3" s="90"/>
      <c r="CS3" s="90"/>
      <c r="CT3" s="90" t="s">
        <v>33</v>
      </c>
      <c r="CU3" s="90"/>
      <c r="CV3" s="90"/>
      <c r="CW3" s="90" t="s">
        <v>34</v>
      </c>
      <c r="CX3" s="90"/>
      <c r="CY3" s="90"/>
    </row>
    <row r="4" spans="1:103" x14ac:dyDescent="0.25">
      <c r="A4" s="11"/>
      <c r="B4" s="45" t="s">
        <v>169</v>
      </c>
      <c r="C4" s="45" t="s">
        <v>170</v>
      </c>
      <c r="D4" s="45" t="s">
        <v>171</v>
      </c>
      <c r="E4" s="45" t="s">
        <v>169</v>
      </c>
      <c r="F4" s="45" t="s">
        <v>170</v>
      </c>
      <c r="G4" s="45" t="s">
        <v>171</v>
      </c>
      <c r="H4" s="45" t="s">
        <v>169</v>
      </c>
      <c r="I4" s="45" t="s">
        <v>170</v>
      </c>
      <c r="J4" s="45" t="s">
        <v>171</v>
      </c>
      <c r="K4" s="45" t="s">
        <v>169</v>
      </c>
      <c r="L4" s="45" t="s">
        <v>170</v>
      </c>
      <c r="M4" s="45" t="s">
        <v>171</v>
      </c>
      <c r="N4" s="45" t="s">
        <v>169</v>
      </c>
      <c r="O4" s="45" t="s">
        <v>170</v>
      </c>
      <c r="P4" s="45" t="s">
        <v>171</v>
      </c>
      <c r="Q4" s="45" t="s">
        <v>169</v>
      </c>
      <c r="R4" s="45" t="s">
        <v>170</v>
      </c>
      <c r="S4" s="45" t="s">
        <v>171</v>
      </c>
      <c r="T4" s="45" t="s">
        <v>169</v>
      </c>
      <c r="U4" s="45" t="s">
        <v>170</v>
      </c>
      <c r="V4" s="45" t="s">
        <v>171</v>
      </c>
      <c r="W4" s="45" t="s">
        <v>169</v>
      </c>
      <c r="X4" s="45" t="s">
        <v>170</v>
      </c>
      <c r="Y4" s="45" t="s">
        <v>171</v>
      </c>
      <c r="Z4" s="45" t="s">
        <v>169</v>
      </c>
      <c r="AA4" s="45" t="s">
        <v>170</v>
      </c>
      <c r="AB4" s="45" t="s">
        <v>171</v>
      </c>
      <c r="AC4" s="45" t="s">
        <v>169</v>
      </c>
      <c r="AD4" s="45" t="s">
        <v>170</v>
      </c>
      <c r="AE4" s="45" t="s">
        <v>171</v>
      </c>
      <c r="AF4" s="45" t="s">
        <v>169</v>
      </c>
      <c r="AG4" s="45" t="s">
        <v>170</v>
      </c>
      <c r="AH4" s="45" t="s">
        <v>171</v>
      </c>
      <c r="AI4" s="45" t="s">
        <v>169</v>
      </c>
      <c r="AJ4" s="45" t="s">
        <v>170</v>
      </c>
      <c r="AK4" s="45" t="s">
        <v>171</v>
      </c>
      <c r="AL4" s="45" t="s">
        <v>169</v>
      </c>
      <c r="AM4" s="45" t="s">
        <v>170</v>
      </c>
      <c r="AN4" s="45" t="s">
        <v>171</v>
      </c>
      <c r="AO4" s="45" t="s">
        <v>169</v>
      </c>
      <c r="AP4" s="45" t="s">
        <v>170</v>
      </c>
      <c r="AQ4" s="45" t="s">
        <v>171</v>
      </c>
      <c r="AR4" s="45" t="s">
        <v>169</v>
      </c>
      <c r="AS4" s="45" t="s">
        <v>170</v>
      </c>
      <c r="AT4" s="45" t="s">
        <v>171</v>
      </c>
      <c r="AU4" s="45" t="s">
        <v>169</v>
      </c>
      <c r="AV4" s="45" t="s">
        <v>170</v>
      </c>
      <c r="AW4" s="45" t="s">
        <v>171</v>
      </c>
      <c r="AX4" s="45" t="s">
        <v>169</v>
      </c>
      <c r="AY4" s="45" t="s">
        <v>170</v>
      </c>
      <c r="AZ4" s="45" t="s">
        <v>171</v>
      </c>
      <c r="BA4" s="45" t="s">
        <v>169</v>
      </c>
      <c r="BB4" s="45" t="s">
        <v>170</v>
      </c>
      <c r="BC4" s="45" t="s">
        <v>171</v>
      </c>
      <c r="BD4" s="45" t="s">
        <v>169</v>
      </c>
      <c r="BE4" s="45" t="s">
        <v>170</v>
      </c>
      <c r="BF4" s="45" t="s">
        <v>171</v>
      </c>
      <c r="BG4" s="45" t="s">
        <v>169</v>
      </c>
      <c r="BH4" s="45" t="s">
        <v>170</v>
      </c>
      <c r="BI4" s="45" t="s">
        <v>171</v>
      </c>
      <c r="BJ4" s="45" t="s">
        <v>169</v>
      </c>
      <c r="BK4" s="45" t="s">
        <v>170</v>
      </c>
      <c r="BL4" s="45" t="s">
        <v>171</v>
      </c>
      <c r="BM4" s="45" t="s">
        <v>169</v>
      </c>
      <c r="BN4" s="45" t="s">
        <v>170</v>
      </c>
      <c r="BO4" s="45" t="s">
        <v>171</v>
      </c>
      <c r="BP4" s="45" t="s">
        <v>169</v>
      </c>
      <c r="BQ4" s="45" t="s">
        <v>170</v>
      </c>
      <c r="BR4" s="45" t="s">
        <v>171</v>
      </c>
      <c r="BS4" s="45" t="s">
        <v>169</v>
      </c>
      <c r="BT4" s="45" t="s">
        <v>170</v>
      </c>
      <c r="BU4" s="45" t="s">
        <v>171</v>
      </c>
      <c r="BV4" s="45" t="s">
        <v>169</v>
      </c>
      <c r="BW4" s="45" t="s">
        <v>170</v>
      </c>
      <c r="BX4" s="45" t="s">
        <v>171</v>
      </c>
      <c r="BY4" s="45" t="s">
        <v>169</v>
      </c>
      <c r="BZ4" s="45" t="s">
        <v>170</v>
      </c>
      <c r="CA4" s="45" t="s">
        <v>171</v>
      </c>
      <c r="CB4" s="45" t="s">
        <v>169</v>
      </c>
      <c r="CC4" s="45" t="s">
        <v>170</v>
      </c>
      <c r="CD4" s="45" t="s">
        <v>171</v>
      </c>
      <c r="CE4" s="45" t="s">
        <v>169</v>
      </c>
      <c r="CF4" s="45" t="s">
        <v>170</v>
      </c>
      <c r="CG4" s="45" t="s">
        <v>171</v>
      </c>
      <c r="CH4" s="45" t="s">
        <v>169</v>
      </c>
      <c r="CI4" s="45" t="s">
        <v>170</v>
      </c>
      <c r="CJ4" s="45" t="s">
        <v>171</v>
      </c>
      <c r="CK4" s="45" t="s">
        <v>169</v>
      </c>
      <c r="CL4" s="45" t="s">
        <v>170</v>
      </c>
      <c r="CM4" s="45" t="s">
        <v>171</v>
      </c>
      <c r="CN4" s="45" t="s">
        <v>169</v>
      </c>
      <c r="CO4" s="45" t="s">
        <v>170</v>
      </c>
      <c r="CP4" s="45" t="s">
        <v>171</v>
      </c>
      <c r="CQ4" s="45" t="s">
        <v>169</v>
      </c>
      <c r="CR4" s="45" t="s">
        <v>170</v>
      </c>
      <c r="CS4" s="45" t="s">
        <v>171</v>
      </c>
      <c r="CT4" s="45" t="s">
        <v>169</v>
      </c>
      <c r="CU4" s="45" t="s">
        <v>170</v>
      </c>
      <c r="CV4" s="45" t="s">
        <v>171</v>
      </c>
      <c r="CW4" s="45" t="s">
        <v>169</v>
      </c>
      <c r="CX4" s="45" t="s">
        <v>170</v>
      </c>
      <c r="CY4" s="45" t="s">
        <v>171</v>
      </c>
    </row>
    <row r="5" spans="1:103" x14ac:dyDescent="0.25">
      <c r="A5" s="11" t="s">
        <v>172</v>
      </c>
      <c r="B5" s="11">
        <v>6</v>
      </c>
      <c r="C5" s="11">
        <f>D5-B5</f>
        <v>2540</v>
      </c>
      <c r="D5" s="11">
        <v>2546</v>
      </c>
      <c r="E5" s="11"/>
      <c r="F5" s="11">
        <f>G5-E5</f>
        <v>4082</v>
      </c>
      <c r="G5" s="11">
        <v>4082</v>
      </c>
      <c r="H5" s="11"/>
      <c r="I5" s="11">
        <f>J5-H5</f>
        <v>4536017</v>
      </c>
      <c r="J5" s="11">
        <v>4536017</v>
      </c>
      <c r="K5" s="11"/>
      <c r="L5" s="11">
        <f>M5-K5</f>
        <v>21923</v>
      </c>
      <c r="M5" s="11">
        <v>21923</v>
      </c>
      <c r="N5" s="11">
        <v>50449</v>
      </c>
      <c r="O5" s="11">
        <f>P5-N5</f>
        <v>120114</v>
      </c>
      <c r="P5" s="11">
        <v>170563</v>
      </c>
      <c r="Q5" s="11">
        <v>13188</v>
      </c>
      <c r="R5" s="11">
        <f>S5-Q5</f>
        <v>16020</v>
      </c>
      <c r="S5" s="11">
        <v>29208</v>
      </c>
      <c r="T5" s="11">
        <v>26785</v>
      </c>
      <c r="U5" s="11">
        <f>V5-T5</f>
        <v>25901</v>
      </c>
      <c r="V5" s="11">
        <v>52686</v>
      </c>
      <c r="W5" s="11"/>
      <c r="X5" s="11">
        <f>Y5-W5</f>
        <v>1655</v>
      </c>
      <c r="Y5" s="11">
        <v>1655</v>
      </c>
      <c r="Z5" s="11">
        <v>1</v>
      </c>
      <c r="AA5" s="11">
        <f>AB5-Z5</f>
        <v>286</v>
      </c>
      <c r="AB5" s="11">
        <v>287</v>
      </c>
      <c r="AC5" s="11">
        <v>3</v>
      </c>
      <c r="AD5" s="11">
        <f>AE5-AC5</f>
        <v>8</v>
      </c>
      <c r="AE5" s="11">
        <v>11</v>
      </c>
      <c r="AF5" s="11"/>
      <c r="AG5" s="11">
        <f>AH5-AF5</f>
        <v>592</v>
      </c>
      <c r="AH5" s="11">
        <v>592</v>
      </c>
      <c r="AI5" s="11">
        <v>7685</v>
      </c>
      <c r="AJ5" s="11">
        <f>AK5-AI5</f>
        <v>23787</v>
      </c>
      <c r="AK5" s="11">
        <v>31472</v>
      </c>
      <c r="AL5" s="11">
        <v>367</v>
      </c>
      <c r="AM5" s="11">
        <f>AN5-AL5</f>
        <v>1245</v>
      </c>
      <c r="AN5" s="11">
        <v>1612</v>
      </c>
      <c r="AO5" s="11">
        <v>26249</v>
      </c>
      <c r="AP5" s="11">
        <f>AQ5-AO5</f>
        <v>94037</v>
      </c>
      <c r="AQ5" s="11">
        <v>120286</v>
      </c>
      <c r="AR5" s="11">
        <v>53287</v>
      </c>
      <c r="AS5" s="11">
        <f>AT5-AR5</f>
        <v>143035</v>
      </c>
      <c r="AT5" s="11">
        <v>196322</v>
      </c>
      <c r="AU5" s="11">
        <v>33844</v>
      </c>
      <c r="AV5" s="11">
        <f>AW5-AU5</f>
        <v>40460</v>
      </c>
      <c r="AW5" s="11">
        <v>74304</v>
      </c>
      <c r="AX5" s="11">
        <v>340</v>
      </c>
      <c r="AY5" s="11">
        <f>AZ5-AX5</f>
        <v>1043</v>
      </c>
      <c r="AZ5" s="11">
        <v>1383</v>
      </c>
      <c r="BA5" s="11">
        <v>3325</v>
      </c>
      <c r="BB5" s="11">
        <f>BC5-BA5</f>
        <v>8232</v>
      </c>
      <c r="BC5" s="11">
        <v>11557</v>
      </c>
      <c r="BD5" s="11">
        <v>4895</v>
      </c>
      <c r="BE5" s="11">
        <f>BF5-BD5</f>
        <v>3204</v>
      </c>
      <c r="BF5" s="11">
        <v>8099</v>
      </c>
      <c r="BG5" s="11"/>
      <c r="BH5" s="11">
        <f>BI5-BG5</f>
        <v>2002</v>
      </c>
      <c r="BI5" s="11">
        <v>2002</v>
      </c>
      <c r="BJ5" s="11">
        <v>123622</v>
      </c>
      <c r="BK5" s="11">
        <f>BL5-BJ5</f>
        <v>396972</v>
      </c>
      <c r="BL5" s="11">
        <v>520594</v>
      </c>
      <c r="BM5" s="11">
        <v>143031</v>
      </c>
      <c r="BN5" s="11">
        <f>BO5-BM5</f>
        <v>166475</v>
      </c>
      <c r="BO5" s="11">
        <v>309506</v>
      </c>
      <c r="BP5" s="11">
        <v>94828</v>
      </c>
      <c r="BQ5" s="11">
        <f>BR5-BP5</f>
        <v>155982</v>
      </c>
      <c r="BR5" s="11">
        <v>250810</v>
      </c>
      <c r="BS5" s="11">
        <v>278</v>
      </c>
      <c r="BT5" s="11">
        <f>BU5-BS5</f>
        <v>211</v>
      </c>
      <c r="BU5" s="11">
        <v>489</v>
      </c>
      <c r="BV5" s="11">
        <v>62532</v>
      </c>
      <c r="BW5" s="11">
        <f>BX5-BV5</f>
        <v>196383</v>
      </c>
      <c r="BX5" s="11">
        <v>258915</v>
      </c>
      <c r="BY5" s="11"/>
      <c r="BZ5" s="11">
        <f>CA5-BY5</f>
        <v>8</v>
      </c>
      <c r="CA5" s="11">
        <v>8</v>
      </c>
      <c r="CB5" s="11"/>
      <c r="CC5" s="11">
        <f>CD5-CB5</f>
        <v>5593</v>
      </c>
      <c r="CD5" s="11">
        <v>5593</v>
      </c>
      <c r="CE5" s="11">
        <v>18966</v>
      </c>
      <c r="CF5" s="11">
        <f>CG5-CE5</f>
        <v>22177</v>
      </c>
      <c r="CG5" s="11">
        <v>41143</v>
      </c>
      <c r="CH5" s="11">
        <v>6998</v>
      </c>
      <c r="CI5" s="11">
        <f>CJ5-CH5</f>
        <v>23847</v>
      </c>
      <c r="CJ5" s="11">
        <v>30845</v>
      </c>
      <c r="CK5" s="11">
        <v>41409</v>
      </c>
      <c r="CL5" s="11">
        <f>CM5-CK5</f>
        <v>14934</v>
      </c>
      <c r="CM5" s="11">
        <v>56343</v>
      </c>
      <c r="CN5" s="11"/>
      <c r="CO5" s="11">
        <f>CP5-CN5</f>
        <v>43424</v>
      </c>
      <c r="CP5" s="11">
        <v>43424</v>
      </c>
      <c r="CQ5" s="11">
        <v>15939</v>
      </c>
      <c r="CR5" s="11">
        <f>CS5-CQ5</f>
        <v>35107</v>
      </c>
      <c r="CS5" s="11">
        <v>51046</v>
      </c>
      <c r="CT5" s="39">
        <v>174225</v>
      </c>
      <c r="CU5" s="11">
        <f>CV5-CT5</f>
        <v>499415</v>
      </c>
      <c r="CV5" s="39">
        <v>673640</v>
      </c>
      <c r="CW5" s="11">
        <v>6929</v>
      </c>
      <c r="CX5" s="11">
        <f>CY5-CW5</f>
        <v>4270</v>
      </c>
      <c r="CY5" s="11">
        <v>11199</v>
      </c>
    </row>
    <row r="6" spans="1:103" x14ac:dyDescent="0.25">
      <c r="A6" s="11" t="s">
        <v>173</v>
      </c>
      <c r="B6" s="11">
        <v>23</v>
      </c>
      <c r="C6" s="11">
        <f t="shared" ref="C6:C14" si="0">D6-B6</f>
        <v>36048</v>
      </c>
      <c r="D6" s="11">
        <v>36071</v>
      </c>
      <c r="E6" s="11"/>
      <c r="F6" s="11">
        <f t="shared" ref="F6:F14" si="1">G6-E6</f>
        <v>22062</v>
      </c>
      <c r="G6" s="11">
        <v>22062</v>
      </c>
      <c r="H6" s="11"/>
      <c r="I6" s="11">
        <f t="shared" ref="I6:I14" si="2">J6-H6</f>
        <v>973208</v>
      </c>
      <c r="J6" s="11">
        <v>973208</v>
      </c>
      <c r="K6" s="11"/>
      <c r="L6" s="11">
        <f t="shared" ref="L6:L14" si="3">M6-K6</f>
        <v>96863</v>
      </c>
      <c r="M6" s="11">
        <v>96863</v>
      </c>
      <c r="N6" s="11">
        <v>3390</v>
      </c>
      <c r="O6" s="11">
        <f t="shared" ref="O6:O14" si="4">P6-N6</f>
        <v>905799</v>
      </c>
      <c r="P6" s="11">
        <v>909189</v>
      </c>
      <c r="Q6" s="11">
        <v>912</v>
      </c>
      <c r="R6" s="11">
        <f t="shared" ref="R6:R14" si="5">S6-Q6</f>
        <v>73107</v>
      </c>
      <c r="S6" s="11">
        <v>74019</v>
      </c>
      <c r="T6" s="11">
        <v>4302</v>
      </c>
      <c r="U6" s="11">
        <f t="shared" ref="U6:U7" si="6">V6-T6</f>
        <v>64227</v>
      </c>
      <c r="V6" s="11">
        <v>68529</v>
      </c>
      <c r="W6" s="11"/>
      <c r="X6" s="11">
        <f t="shared" ref="X6:X14" si="7">Y6-W6</f>
        <v>47462</v>
      </c>
      <c r="Y6" s="11">
        <v>47462</v>
      </c>
      <c r="Z6" s="11">
        <v>11</v>
      </c>
      <c r="AA6" s="11">
        <f t="shared" ref="AA6:AA14" si="8">AB6-Z6</f>
        <v>2233</v>
      </c>
      <c r="AB6" s="11">
        <v>2244</v>
      </c>
      <c r="AC6" s="11">
        <v>12</v>
      </c>
      <c r="AD6" s="11">
        <f t="shared" ref="AD6:AD14" si="9">AE6-AC6</f>
        <v>72</v>
      </c>
      <c r="AE6" s="11">
        <v>84</v>
      </c>
      <c r="AF6" s="11"/>
      <c r="AG6" s="11">
        <f t="shared" ref="AG6:AG14" si="10">AH6-AF6</f>
        <v>600</v>
      </c>
      <c r="AH6" s="11">
        <v>600</v>
      </c>
      <c r="AI6" s="11">
        <v>911</v>
      </c>
      <c r="AJ6" s="11">
        <f t="shared" ref="AJ6:AJ14" si="11">AK6-AI6</f>
        <v>61074</v>
      </c>
      <c r="AK6" s="11">
        <v>61985</v>
      </c>
      <c r="AL6" s="11">
        <v>340</v>
      </c>
      <c r="AM6" s="11">
        <f t="shared" ref="AM6:AM14" si="12">AN6-AL6</f>
        <v>28375</v>
      </c>
      <c r="AN6" s="11">
        <v>28715</v>
      </c>
      <c r="AO6" s="11">
        <v>2372</v>
      </c>
      <c r="AP6" s="11">
        <f t="shared" ref="AP6:AP14" si="13">AQ6-AO6</f>
        <v>263323</v>
      </c>
      <c r="AQ6" s="11">
        <v>265695</v>
      </c>
      <c r="AR6" s="11">
        <v>5297</v>
      </c>
      <c r="AS6" s="11">
        <f t="shared" ref="AS6:AS14" si="14">AT6-AR6</f>
        <v>453059</v>
      </c>
      <c r="AT6" s="11">
        <v>458356</v>
      </c>
      <c r="AU6" s="11">
        <v>4634</v>
      </c>
      <c r="AV6" s="11">
        <f t="shared" ref="AV6:AV14" si="15">AW6-AU6</f>
        <v>217858</v>
      </c>
      <c r="AW6" s="11">
        <v>222492</v>
      </c>
      <c r="AX6" s="11">
        <v>123</v>
      </c>
      <c r="AY6" s="11">
        <f t="shared" ref="AY6:AY14" si="16">AZ6-AX6</f>
        <v>10010</v>
      </c>
      <c r="AZ6" s="11">
        <v>10133</v>
      </c>
      <c r="BA6" s="11">
        <v>469</v>
      </c>
      <c r="BB6" s="11">
        <f t="shared" ref="BB6:BB14" si="17">BC6-BA6</f>
        <v>53711</v>
      </c>
      <c r="BC6" s="11">
        <v>54180</v>
      </c>
      <c r="BD6" s="11">
        <v>847</v>
      </c>
      <c r="BE6" s="11">
        <f t="shared" ref="BE6:BE14" si="18">BF6-BD6</f>
        <v>16649</v>
      </c>
      <c r="BF6" s="11">
        <v>17496</v>
      </c>
      <c r="BG6" s="11"/>
      <c r="BH6" s="11">
        <f t="shared" ref="BH6:BH14" si="19">BI6-BG6</f>
        <v>33719</v>
      </c>
      <c r="BI6" s="11">
        <v>33719</v>
      </c>
      <c r="BJ6" s="11">
        <v>10912</v>
      </c>
      <c r="BK6" s="11">
        <f t="shared" ref="BK6:BK14" si="20">BL6-BJ6</f>
        <v>903086</v>
      </c>
      <c r="BL6" s="11">
        <v>913998</v>
      </c>
      <c r="BM6" s="11">
        <v>19761</v>
      </c>
      <c r="BN6" s="11">
        <f t="shared" ref="BN6:BN14" si="21">BO6-BM6</f>
        <v>1379270</v>
      </c>
      <c r="BO6" s="11">
        <v>1399031</v>
      </c>
      <c r="BP6" s="11">
        <v>20625</v>
      </c>
      <c r="BQ6" s="11">
        <f t="shared" ref="BQ6:BQ14" si="22">BR6-BP6</f>
        <v>1824434</v>
      </c>
      <c r="BR6" s="11">
        <v>1845059</v>
      </c>
      <c r="BS6" s="11">
        <v>74</v>
      </c>
      <c r="BT6" s="11">
        <f t="shared" ref="BT6:BT14" si="23">BU6-BS6</f>
        <v>100</v>
      </c>
      <c r="BU6" s="11">
        <v>174</v>
      </c>
      <c r="BV6" s="11">
        <v>4139</v>
      </c>
      <c r="BW6" s="11">
        <f t="shared" ref="BW6:BW14" si="24">BX6-BV6</f>
        <v>303798</v>
      </c>
      <c r="BX6" s="11">
        <v>307937</v>
      </c>
      <c r="BY6" s="11"/>
      <c r="BZ6" s="11">
        <f t="shared" ref="BZ6:BZ11" si="25">CA6-BY6</f>
        <v>80</v>
      </c>
      <c r="CA6" s="11">
        <v>80</v>
      </c>
      <c r="CB6" s="11"/>
      <c r="CC6" s="11">
        <f t="shared" ref="CC6:CC14" si="26">CD6-CB6</f>
        <v>335477</v>
      </c>
      <c r="CD6" s="11">
        <v>335477</v>
      </c>
      <c r="CE6" s="11">
        <v>2132</v>
      </c>
      <c r="CF6" s="11">
        <f t="shared" ref="CF6:CF14" si="27">CG6-CE6</f>
        <v>265249</v>
      </c>
      <c r="CG6" s="11">
        <v>267381</v>
      </c>
      <c r="CH6" s="11">
        <v>735</v>
      </c>
      <c r="CI6" s="11">
        <f t="shared" ref="CI6:CI14" si="28">CJ6-CH6</f>
        <v>69661</v>
      </c>
      <c r="CJ6" s="11">
        <v>70396</v>
      </c>
      <c r="CK6" s="11">
        <v>4138</v>
      </c>
      <c r="CL6" s="11">
        <f t="shared" ref="CL6:CL14" si="29">CM6-CK6</f>
        <v>90723</v>
      </c>
      <c r="CM6" s="11">
        <v>94861</v>
      </c>
      <c r="CN6" s="11"/>
      <c r="CO6" s="11">
        <f t="shared" ref="CO6:CO14" si="30">CP6-CN6</f>
        <v>227417</v>
      </c>
      <c r="CP6" s="11">
        <v>227417</v>
      </c>
      <c r="CQ6" s="11">
        <v>2873</v>
      </c>
      <c r="CR6" s="11">
        <f t="shared" ref="CR6:CR14" si="31">CS6-CQ6</f>
        <v>296108</v>
      </c>
      <c r="CS6" s="11">
        <v>298981</v>
      </c>
      <c r="CT6" s="39">
        <v>17979</v>
      </c>
      <c r="CU6" s="11">
        <f t="shared" ref="CU6:CU14" si="32">CV6-CT6</f>
        <v>1293386</v>
      </c>
      <c r="CV6" s="39">
        <v>1311365</v>
      </c>
      <c r="CW6" s="11">
        <v>517</v>
      </c>
      <c r="CX6" s="11">
        <f t="shared" ref="CX6:CX14" si="33">CY6-CW6</f>
        <v>42236</v>
      </c>
      <c r="CY6" s="11">
        <v>42753</v>
      </c>
    </row>
    <row r="7" spans="1:103" x14ac:dyDescent="0.25">
      <c r="A7" s="11" t="s">
        <v>174</v>
      </c>
      <c r="B7" s="11">
        <v>0</v>
      </c>
      <c r="C7" s="11">
        <f t="shared" si="0"/>
        <v>19979</v>
      </c>
      <c r="D7" s="11">
        <v>19979</v>
      </c>
      <c r="E7" s="11"/>
      <c r="F7" s="11">
        <f t="shared" si="1"/>
        <v>12991</v>
      </c>
      <c r="G7" s="11">
        <v>12991</v>
      </c>
      <c r="H7" s="11"/>
      <c r="I7" s="11">
        <f t="shared" si="2"/>
        <v>718603</v>
      </c>
      <c r="J7" s="11">
        <v>718603</v>
      </c>
      <c r="K7" s="11"/>
      <c r="L7" s="11">
        <f t="shared" si="3"/>
        <v>85386</v>
      </c>
      <c r="M7" s="11">
        <v>85386</v>
      </c>
      <c r="N7" s="11">
        <v>1812</v>
      </c>
      <c r="O7" s="11">
        <f t="shared" si="4"/>
        <v>776969</v>
      </c>
      <c r="P7" s="11">
        <v>778781</v>
      </c>
      <c r="Q7" s="11">
        <v>854</v>
      </c>
      <c r="R7" s="11">
        <f t="shared" si="5"/>
        <v>59342</v>
      </c>
      <c r="S7" s="11">
        <v>60196</v>
      </c>
      <c r="T7" s="11">
        <v>1760</v>
      </c>
      <c r="U7" s="11">
        <f t="shared" si="6"/>
        <v>50255</v>
      </c>
      <c r="V7" s="11">
        <v>52015</v>
      </c>
      <c r="W7" s="11"/>
      <c r="X7" s="11">
        <f t="shared" si="7"/>
        <v>40156</v>
      </c>
      <c r="Y7" s="11">
        <v>40156</v>
      </c>
      <c r="Z7" s="11"/>
      <c r="AA7" s="11">
        <f t="shared" si="8"/>
        <v>1579</v>
      </c>
      <c r="AB7" s="11">
        <v>1579</v>
      </c>
      <c r="AC7" s="11"/>
      <c r="AD7" s="11">
        <f t="shared" si="9"/>
        <v>47</v>
      </c>
      <c r="AE7" s="11">
        <v>47</v>
      </c>
      <c r="AF7" s="11"/>
      <c r="AG7" s="11">
        <f t="shared" si="10"/>
        <v>73</v>
      </c>
      <c r="AH7" s="11">
        <v>73</v>
      </c>
      <c r="AI7" s="11">
        <v>197</v>
      </c>
      <c r="AJ7" s="11">
        <f t="shared" si="11"/>
        <v>49442</v>
      </c>
      <c r="AK7" s="11">
        <v>49639</v>
      </c>
      <c r="AL7" s="11">
        <v>58</v>
      </c>
      <c r="AM7" s="11">
        <f t="shared" si="12"/>
        <v>19278</v>
      </c>
      <c r="AN7" s="11">
        <v>19336</v>
      </c>
      <c r="AO7" s="11">
        <v>520</v>
      </c>
      <c r="AP7" s="11">
        <f t="shared" si="13"/>
        <v>303614</v>
      </c>
      <c r="AQ7" s="11">
        <v>304134</v>
      </c>
      <c r="AR7" s="11">
        <v>3123</v>
      </c>
      <c r="AS7" s="11">
        <f t="shared" si="14"/>
        <v>377292</v>
      </c>
      <c r="AT7" s="11">
        <v>380415</v>
      </c>
      <c r="AU7" s="11">
        <v>2973</v>
      </c>
      <c r="AV7" s="11">
        <f t="shared" si="15"/>
        <v>188377</v>
      </c>
      <c r="AW7" s="11">
        <v>191350</v>
      </c>
      <c r="AX7" s="11">
        <v>2</v>
      </c>
      <c r="AY7" s="11">
        <f t="shared" si="16"/>
        <v>7770</v>
      </c>
      <c r="AZ7" s="11">
        <v>7772</v>
      </c>
      <c r="BA7" s="11">
        <v>139</v>
      </c>
      <c r="BB7" s="11">
        <f t="shared" si="17"/>
        <v>43849</v>
      </c>
      <c r="BC7" s="11">
        <v>43988</v>
      </c>
      <c r="BD7" s="11">
        <v>139</v>
      </c>
      <c r="BE7" s="11">
        <f t="shared" si="18"/>
        <v>12475</v>
      </c>
      <c r="BF7" s="11">
        <v>12614</v>
      </c>
      <c r="BG7" s="11"/>
      <c r="BH7" s="11">
        <f t="shared" si="19"/>
        <v>28476</v>
      </c>
      <c r="BI7" s="11">
        <v>28476</v>
      </c>
      <c r="BJ7" s="11">
        <v>15278</v>
      </c>
      <c r="BK7" s="11">
        <f t="shared" si="20"/>
        <v>738551</v>
      </c>
      <c r="BL7" s="11">
        <v>753829</v>
      </c>
      <c r="BM7" s="11">
        <v>12217</v>
      </c>
      <c r="BN7" s="11">
        <f t="shared" si="21"/>
        <v>1285734</v>
      </c>
      <c r="BO7" s="11">
        <v>1297951</v>
      </c>
      <c r="BP7" s="11">
        <v>16482</v>
      </c>
      <c r="BQ7" s="11">
        <f t="shared" si="22"/>
        <v>1747869</v>
      </c>
      <c r="BR7" s="11">
        <v>1764351</v>
      </c>
      <c r="BS7" s="11">
        <v>10</v>
      </c>
      <c r="BT7" s="11">
        <f t="shared" si="23"/>
        <v>35</v>
      </c>
      <c r="BU7" s="11">
        <v>45</v>
      </c>
      <c r="BV7" s="11">
        <v>3120</v>
      </c>
      <c r="BW7" s="11">
        <f t="shared" si="24"/>
        <v>244773</v>
      </c>
      <c r="BX7" s="11">
        <v>247893</v>
      </c>
      <c r="BY7" s="11"/>
      <c r="BZ7" s="11">
        <f t="shared" si="25"/>
        <v>24</v>
      </c>
      <c r="CA7" s="11">
        <v>24</v>
      </c>
      <c r="CB7" s="11"/>
      <c r="CC7" s="11">
        <f t="shared" si="26"/>
        <v>312424</v>
      </c>
      <c r="CD7" s="11">
        <v>312424</v>
      </c>
      <c r="CE7" s="11">
        <v>895</v>
      </c>
      <c r="CF7" s="11">
        <f t="shared" si="27"/>
        <v>251612</v>
      </c>
      <c r="CG7" s="11">
        <v>252507</v>
      </c>
      <c r="CH7" s="11">
        <v>271</v>
      </c>
      <c r="CI7" s="11">
        <f t="shared" si="28"/>
        <v>54338</v>
      </c>
      <c r="CJ7" s="11">
        <v>54609</v>
      </c>
      <c r="CK7" s="11">
        <v>920</v>
      </c>
      <c r="CL7" s="11">
        <f t="shared" si="29"/>
        <v>82735</v>
      </c>
      <c r="CM7" s="11">
        <v>83655</v>
      </c>
      <c r="CN7" s="11"/>
      <c r="CO7" s="11">
        <f t="shared" si="30"/>
        <v>176876</v>
      </c>
      <c r="CP7" s="11">
        <v>176876</v>
      </c>
      <c r="CQ7" s="11">
        <v>505</v>
      </c>
      <c r="CR7" s="11">
        <f t="shared" si="31"/>
        <v>237815</v>
      </c>
      <c r="CS7" s="11">
        <v>238320</v>
      </c>
      <c r="CT7" s="39">
        <v>11335</v>
      </c>
      <c r="CU7" s="11">
        <f t="shared" si="32"/>
        <v>1101758</v>
      </c>
      <c r="CV7" s="39">
        <v>1113093</v>
      </c>
      <c r="CW7" s="11">
        <v>355</v>
      </c>
      <c r="CX7" s="11">
        <f t="shared" si="33"/>
        <v>32942</v>
      </c>
      <c r="CY7" s="11">
        <v>33297</v>
      </c>
    </row>
    <row r="8" spans="1:103" x14ac:dyDescent="0.25">
      <c r="A8" s="11" t="s">
        <v>175</v>
      </c>
      <c r="B8" s="11">
        <v>0</v>
      </c>
      <c r="C8" s="11">
        <f t="shared" si="0"/>
        <v>56</v>
      </c>
      <c r="D8" s="11">
        <v>56</v>
      </c>
      <c r="E8" s="11"/>
      <c r="F8" s="11">
        <f t="shared" si="1"/>
        <v>1266</v>
      </c>
      <c r="G8" s="11">
        <v>1266</v>
      </c>
      <c r="H8" s="11"/>
      <c r="I8" s="11">
        <f t="shared" si="2"/>
        <v>0</v>
      </c>
      <c r="J8" s="11">
        <v>0</v>
      </c>
      <c r="K8" s="11"/>
      <c r="L8" s="11">
        <f t="shared" si="3"/>
        <v>8479</v>
      </c>
      <c r="M8" s="11">
        <v>8479</v>
      </c>
      <c r="N8" s="11">
        <v>125</v>
      </c>
      <c r="O8" s="11">
        <f t="shared" si="4"/>
        <v>11248</v>
      </c>
      <c r="P8" s="11">
        <v>11373</v>
      </c>
      <c r="Q8" s="11">
        <v>0</v>
      </c>
      <c r="R8" s="11">
        <f t="shared" si="5"/>
        <v>2263</v>
      </c>
      <c r="S8" s="11">
        <v>2263</v>
      </c>
      <c r="T8" s="11"/>
      <c r="U8" s="11">
        <f t="shared" ref="U8:U14" si="34">V8-T8</f>
        <v>3660</v>
      </c>
      <c r="V8" s="11">
        <v>3660</v>
      </c>
      <c r="W8" s="11"/>
      <c r="X8" s="11">
        <f t="shared" si="7"/>
        <v>5395</v>
      </c>
      <c r="Y8" s="11">
        <v>5395</v>
      </c>
      <c r="Z8" s="11"/>
      <c r="AA8" s="11">
        <f t="shared" si="8"/>
        <v>53</v>
      </c>
      <c r="AB8" s="11">
        <v>53</v>
      </c>
      <c r="AC8" s="11"/>
      <c r="AD8" s="11">
        <f t="shared" si="9"/>
        <v>6</v>
      </c>
      <c r="AE8" s="11">
        <v>6</v>
      </c>
      <c r="AF8" s="11"/>
      <c r="AG8" s="11">
        <f t="shared" si="10"/>
        <v>110</v>
      </c>
      <c r="AH8" s="11">
        <v>110</v>
      </c>
      <c r="AI8" s="11">
        <v>57</v>
      </c>
      <c r="AJ8" s="11">
        <f t="shared" si="11"/>
        <v>3028</v>
      </c>
      <c r="AK8" s="11">
        <v>3085</v>
      </c>
      <c r="AL8" s="11"/>
      <c r="AM8" s="11">
        <f t="shared" si="12"/>
        <v>224</v>
      </c>
      <c r="AN8" s="11">
        <v>224</v>
      </c>
      <c r="AO8" s="11">
        <v>48</v>
      </c>
      <c r="AP8" s="11">
        <f t="shared" si="13"/>
        <v>4547</v>
      </c>
      <c r="AQ8" s="11">
        <v>4595</v>
      </c>
      <c r="AR8" s="11">
        <v>597</v>
      </c>
      <c r="AS8" s="11">
        <f t="shared" si="14"/>
        <v>22920</v>
      </c>
      <c r="AT8" s="11">
        <v>23517</v>
      </c>
      <c r="AU8" s="11">
        <v>0</v>
      </c>
      <c r="AV8" s="11">
        <f t="shared" si="15"/>
        <v>8847</v>
      </c>
      <c r="AW8" s="11">
        <v>8847</v>
      </c>
      <c r="AX8" s="11">
        <v>3</v>
      </c>
      <c r="AY8" s="11">
        <f t="shared" si="16"/>
        <v>768</v>
      </c>
      <c r="AZ8" s="11">
        <v>771</v>
      </c>
      <c r="BA8" s="11">
        <v>0</v>
      </c>
      <c r="BB8" s="11">
        <f t="shared" si="17"/>
        <v>3569</v>
      </c>
      <c r="BC8" s="11">
        <v>3569</v>
      </c>
      <c r="BD8" s="11"/>
      <c r="BE8" s="11">
        <f t="shared" si="18"/>
        <v>419</v>
      </c>
      <c r="BF8" s="11">
        <v>419</v>
      </c>
      <c r="BG8" s="11"/>
      <c r="BH8" s="11">
        <f t="shared" si="19"/>
        <v>3020</v>
      </c>
      <c r="BI8" s="11">
        <v>3020</v>
      </c>
      <c r="BJ8" s="11">
        <v>2981</v>
      </c>
      <c r="BK8" s="11">
        <f t="shared" si="20"/>
        <v>29881</v>
      </c>
      <c r="BL8" s="11">
        <v>32862</v>
      </c>
      <c r="BM8" s="11">
        <v>114</v>
      </c>
      <c r="BN8" s="11">
        <f t="shared" si="21"/>
        <v>40253</v>
      </c>
      <c r="BO8" s="11">
        <v>40367</v>
      </c>
      <c r="BP8" s="11">
        <v>12</v>
      </c>
      <c r="BQ8" s="11">
        <f t="shared" si="22"/>
        <v>1323</v>
      </c>
      <c r="BR8" s="11">
        <v>1335</v>
      </c>
      <c r="BS8" s="11"/>
      <c r="BT8" s="11">
        <f t="shared" si="23"/>
        <v>0</v>
      </c>
      <c r="BU8" s="11">
        <v>0</v>
      </c>
      <c r="BV8" s="11">
        <v>66</v>
      </c>
      <c r="BW8" s="11">
        <f t="shared" si="24"/>
        <v>42563</v>
      </c>
      <c r="BX8" s="11">
        <v>42629</v>
      </c>
      <c r="BY8" s="11"/>
      <c r="BZ8" s="11">
        <f t="shared" si="25"/>
        <v>18</v>
      </c>
      <c r="CA8" s="11">
        <v>18</v>
      </c>
      <c r="CB8" s="11"/>
      <c r="CC8" s="11">
        <f t="shared" si="26"/>
        <v>21832</v>
      </c>
      <c r="CD8" s="11">
        <v>21832</v>
      </c>
      <c r="CE8" s="11"/>
      <c r="CF8" s="11">
        <f t="shared" si="27"/>
        <v>3386</v>
      </c>
      <c r="CG8" s="11">
        <v>3386</v>
      </c>
      <c r="CH8" s="11">
        <v>1</v>
      </c>
      <c r="CI8" s="11">
        <f t="shared" si="28"/>
        <v>1410</v>
      </c>
      <c r="CJ8" s="11">
        <v>1411</v>
      </c>
      <c r="CK8" s="11">
        <v>273</v>
      </c>
      <c r="CL8" s="11">
        <f t="shared" si="29"/>
        <v>1328</v>
      </c>
      <c r="CM8" s="11">
        <v>1601</v>
      </c>
      <c r="CN8" s="11"/>
      <c r="CO8" s="11">
        <f t="shared" si="30"/>
        <v>25033</v>
      </c>
      <c r="CP8" s="11">
        <v>25033</v>
      </c>
      <c r="CQ8" s="11">
        <v>20</v>
      </c>
      <c r="CR8" s="11">
        <f t="shared" si="31"/>
        <v>7657</v>
      </c>
      <c r="CS8" s="11">
        <v>7677</v>
      </c>
      <c r="CT8" s="39">
        <v>4669</v>
      </c>
      <c r="CU8" s="11">
        <f t="shared" si="32"/>
        <v>70819</v>
      </c>
      <c r="CV8" s="39">
        <v>75488</v>
      </c>
      <c r="CW8" s="11"/>
      <c r="CX8" s="11">
        <f t="shared" si="33"/>
        <v>1505</v>
      </c>
      <c r="CY8" s="11">
        <v>1505</v>
      </c>
    </row>
    <row r="9" spans="1:103" x14ac:dyDescent="0.25">
      <c r="A9" s="11" t="s">
        <v>176</v>
      </c>
      <c r="B9" s="11">
        <v>0</v>
      </c>
      <c r="C9" s="11">
        <f t="shared" si="0"/>
        <v>14020</v>
      </c>
      <c r="D9" s="11">
        <v>14020</v>
      </c>
      <c r="E9" s="11"/>
      <c r="F9" s="11">
        <f t="shared" si="1"/>
        <v>4180</v>
      </c>
      <c r="G9" s="11">
        <v>4180</v>
      </c>
      <c r="H9" s="11"/>
      <c r="I9" s="11">
        <f t="shared" si="2"/>
        <v>0</v>
      </c>
      <c r="J9" s="11">
        <v>0</v>
      </c>
      <c r="K9" s="11"/>
      <c r="L9" s="11">
        <f t="shared" si="3"/>
        <v>0</v>
      </c>
      <c r="M9" s="11"/>
      <c r="N9" s="11">
        <v>585</v>
      </c>
      <c r="O9" s="11">
        <f t="shared" si="4"/>
        <v>34865</v>
      </c>
      <c r="P9" s="11">
        <v>35450</v>
      </c>
      <c r="Q9" s="11">
        <v>0</v>
      </c>
      <c r="R9" s="11">
        <f t="shared" si="5"/>
        <v>5515</v>
      </c>
      <c r="S9" s="11">
        <v>5515</v>
      </c>
      <c r="T9" s="11">
        <v>650</v>
      </c>
      <c r="U9" s="11">
        <f t="shared" si="34"/>
        <v>2279</v>
      </c>
      <c r="V9" s="11">
        <v>2929</v>
      </c>
      <c r="W9" s="11"/>
      <c r="X9" s="11">
        <f t="shared" si="7"/>
        <v>0</v>
      </c>
      <c r="Y9" s="11"/>
      <c r="Z9" s="11">
        <v>6</v>
      </c>
      <c r="AA9" s="11">
        <f t="shared" si="8"/>
        <v>226</v>
      </c>
      <c r="AB9" s="11">
        <v>232</v>
      </c>
      <c r="AC9" s="11"/>
      <c r="AD9" s="11">
        <f t="shared" si="9"/>
        <v>7</v>
      </c>
      <c r="AE9" s="11">
        <v>7</v>
      </c>
      <c r="AF9" s="11"/>
      <c r="AG9" s="11">
        <f t="shared" si="10"/>
        <v>0</v>
      </c>
      <c r="AH9" s="11">
        <v>0</v>
      </c>
      <c r="AI9" s="11">
        <v>20</v>
      </c>
      <c r="AJ9" s="11">
        <f t="shared" si="11"/>
        <v>3328</v>
      </c>
      <c r="AK9" s="11">
        <v>3348</v>
      </c>
      <c r="AL9" s="11">
        <v>50</v>
      </c>
      <c r="AM9" s="11">
        <f t="shared" si="12"/>
        <v>3945</v>
      </c>
      <c r="AN9" s="11">
        <v>3995</v>
      </c>
      <c r="AO9" s="11">
        <v>143</v>
      </c>
      <c r="AP9" s="11">
        <f t="shared" si="13"/>
        <v>7877</v>
      </c>
      <c r="AQ9" s="11">
        <v>8020</v>
      </c>
      <c r="AR9" s="11">
        <v>852</v>
      </c>
      <c r="AS9" s="11">
        <f t="shared" si="14"/>
        <v>19950</v>
      </c>
      <c r="AT9" s="11">
        <v>20802</v>
      </c>
      <c r="AU9" s="11">
        <v>223</v>
      </c>
      <c r="AV9" s="11">
        <f t="shared" si="15"/>
        <v>8673</v>
      </c>
      <c r="AW9" s="11">
        <v>8896</v>
      </c>
      <c r="AX9" s="11"/>
      <c r="AY9" s="11">
        <f t="shared" si="16"/>
        <v>792</v>
      </c>
      <c r="AZ9" s="11">
        <v>792</v>
      </c>
      <c r="BA9" s="11">
        <v>29</v>
      </c>
      <c r="BB9" s="11">
        <f t="shared" si="17"/>
        <v>2954</v>
      </c>
      <c r="BC9" s="11">
        <v>2983</v>
      </c>
      <c r="BD9" s="11">
        <v>57</v>
      </c>
      <c r="BE9" s="11">
        <f t="shared" si="18"/>
        <v>1733</v>
      </c>
      <c r="BF9" s="11">
        <v>1790</v>
      </c>
      <c r="BG9" s="11"/>
      <c r="BH9" s="11">
        <f t="shared" si="19"/>
        <v>0</v>
      </c>
      <c r="BI9" s="11"/>
      <c r="BJ9" s="11"/>
      <c r="BK9" s="11">
        <f t="shared" si="20"/>
        <v>0</v>
      </c>
      <c r="BL9" s="11"/>
      <c r="BM9" s="11"/>
      <c r="BN9" s="11">
        <f t="shared" si="21"/>
        <v>0</v>
      </c>
      <c r="BO9" s="11"/>
      <c r="BP9" s="11"/>
      <c r="BQ9" s="11">
        <f t="shared" si="22"/>
        <v>0</v>
      </c>
      <c r="BR9" s="11"/>
      <c r="BS9" s="11"/>
      <c r="BT9" s="11">
        <f t="shared" si="23"/>
        <v>54</v>
      </c>
      <c r="BU9" s="11">
        <v>54</v>
      </c>
      <c r="BV9" s="11">
        <v>1345</v>
      </c>
      <c r="BW9" s="11">
        <f t="shared" si="24"/>
        <v>12142</v>
      </c>
      <c r="BX9" s="11">
        <v>13487</v>
      </c>
      <c r="BY9" s="11"/>
      <c r="BZ9" s="11">
        <f t="shared" si="25"/>
        <v>17</v>
      </c>
      <c r="CA9" s="11">
        <v>17</v>
      </c>
      <c r="CB9" s="11"/>
      <c r="CC9" s="11">
        <f t="shared" si="26"/>
        <v>0</v>
      </c>
      <c r="CD9" s="11"/>
      <c r="CE9" s="11">
        <v>232</v>
      </c>
      <c r="CF9" s="11">
        <f t="shared" si="27"/>
        <v>4040</v>
      </c>
      <c r="CG9" s="11">
        <v>4272</v>
      </c>
      <c r="CH9" s="11">
        <v>159</v>
      </c>
      <c r="CI9" s="11">
        <f t="shared" si="28"/>
        <v>8769</v>
      </c>
      <c r="CJ9" s="11">
        <v>8928</v>
      </c>
      <c r="CK9" s="11">
        <v>136</v>
      </c>
      <c r="CL9" s="11">
        <f t="shared" si="29"/>
        <v>6002</v>
      </c>
      <c r="CM9" s="11">
        <v>6138</v>
      </c>
      <c r="CN9" s="11"/>
      <c r="CO9" s="11">
        <f t="shared" si="30"/>
        <v>12526</v>
      </c>
      <c r="CP9" s="11">
        <v>12526</v>
      </c>
      <c r="CQ9" s="11">
        <v>300</v>
      </c>
      <c r="CR9" s="11">
        <f t="shared" si="31"/>
        <v>14468</v>
      </c>
      <c r="CS9" s="11">
        <v>14768</v>
      </c>
      <c r="CT9" s="39">
        <v>469</v>
      </c>
      <c r="CU9" s="11">
        <f t="shared" si="32"/>
        <v>826</v>
      </c>
      <c r="CV9" s="39">
        <v>1295</v>
      </c>
      <c r="CW9" s="11">
        <v>115</v>
      </c>
      <c r="CX9" s="11">
        <f t="shared" si="33"/>
        <v>2100</v>
      </c>
      <c r="CY9" s="11">
        <v>2215</v>
      </c>
    </row>
    <row r="10" spans="1:103" x14ac:dyDescent="0.25">
      <c r="A10" s="11" t="s">
        <v>177</v>
      </c>
      <c r="B10" s="11">
        <v>29</v>
      </c>
      <c r="C10" s="11">
        <f t="shared" si="0"/>
        <v>9155</v>
      </c>
      <c r="D10" s="11">
        <v>9184</v>
      </c>
      <c r="E10" s="11"/>
      <c r="F10" s="11">
        <f t="shared" si="1"/>
        <v>7707</v>
      </c>
      <c r="G10" s="11">
        <v>7707</v>
      </c>
      <c r="H10" s="11"/>
      <c r="I10" s="11">
        <f t="shared" si="2"/>
        <v>4790622</v>
      </c>
      <c r="J10" s="11">
        <v>4790622</v>
      </c>
      <c r="K10" s="11"/>
      <c r="L10" s="11">
        <f t="shared" si="3"/>
        <v>24921</v>
      </c>
      <c r="M10" s="11">
        <v>24921</v>
      </c>
      <c r="N10" s="11">
        <v>51301</v>
      </c>
      <c r="O10" s="11">
        <f t="shared" si="4"/>
        <v>202831</v>
      </c>
      <c r="P10" s="11">
        <v>254132</v>
      </c>
      <c r="Q10" s="11">
        <v>13246</v>
      </c>
      <c r="R10" s="11">
        <f t="shared" si="5"/>
        <v>22007</v>
      </c>
      <c r="S10" s="11">
        <v>35253</v>
      </c>
      <c r="T10" s="11">
        <v>28677</v>
      </c>
      <c r="U10" s="11">
        <f t="shared" si="34"/>
        <v>33934</v>
      </c>
      <c r="V10" s="11">
        <v>62611</v>
      </c>
      <c r="W10" s="11"/>
      <c r="X10" s="11">
        <f t="shared" si="7"/>
        <v>3566</v>
      </c>
      <c r="Y10" s="11">
        <v>3566</v>
      </c>
      <c r="Z10" s="11">
        <v>6</v>
      </c>
      <c r="AA10" s="11">
        <f t="shared" si="8"/>
        <v>661</v>
      </c>
      <c r="AB10" s="11">
        <v>667</v>
      </c>
      <c r="AC10" s="11">
        <v>15</v>
      </c>
      <c r="AD10" s="11">
        <f t="shared" si="9"/>
        <v>20</v>
      </c>
      <c r="AE10" s="11">
        <v>35</v>
      </c>
      <c r="AF10" s="11"/>
      <c r="AG10" s="11">
        <f t="shared" si="10"/>
        <v>1009</v>
      </c>
      <c r="AH10" s="11">
        <v>1009</v>
      </c>
      <c r="AI10" s="11">
        <v>8322</v>
      </c>
      <c r="AJ10" s="11">
        <f t="shared" si="11"/>
        <v>29063</v>
      </c>
      <c r="AK10" s="11">
        <v>37385</v>
      </c>
      <c r="AL10" s="11">
        <v>599</v>
      </c>
      <c r="AM10" s="11">
        <f t="shared" si="12"/>
        <v>6173</v>
      </c>
      <c r="AN10" s="11">
        <v>6772</v>
      </c>
      <c r="AO10" s="11">
        <v>27910</v>
      </c>
      <c r="AP10" s="11">
        <f t="shared" si="13"/>
        <v>41322</v>
      </c>
      <c r="AQ10" s="11">
        <v>69232</v>
      </c>
      <c r="AR10" s="11">
        <v>54012</v>
      </c>
      <c r="AS10" s="11">
        <f t="shared" si="14"/>
        <v>175932</v>
      </c>
      <c r="AT10" s="11">
        <v>229944</v>
      </c>
      <c r="AU10" s="11">
        <v>36500</v>
      </c>
      <c r="AV10" s="11">
        <f t="shared" si="15"/>
        <v>74416</v>
      </c>
      <c r="AW10" s="11">
        <v>110916</v>
      </c>
      <c r="AX10" s="11">
        <v>458</v>
      </c>
      <c r="AY10" s="11">
        <f t="shared" si="16"/>
        <v>1723</v>
      </c>
      <c r="AZ10" s="11">
        <v>2181</v>
      </c>
      <c r="BA10" s="11">
        <v>3626</v>
      </c>
      <c r="BB10" s="11">
        <f t="shared" si="17"/>
        <v>11571</v>
      </c>
      <c r="BC10" s="11">
        <v>15197</v>
      </c>
      <c r="BD10" s="11">
        <v>5546</v>
      </c>
      <c r="BE10" s="11">
        <f t="shared" si="18"/>
        <v>5226</v>
      </c>
      <c r="BF10" s="11">
        <v>10772</v>
      </c>
      <c r="BG10" s="11"/>
      <c r="BH10" s="11">
        <f t="shared" si="19"/>
        <v>4225</v>
      </c>
      <c r="BI10" s="11">
        <v>4225</v>
      </c>
      <c r="BJ10" s="11">
        <v>116275</v>
      </c>
      <c r="BK10" s="11">
        <f t="shared" si="20"/>
        <v>531626</v>
      </c>
      <c r="BL10" s="11">
        <v>647901</v>
      </c>
      <c r="BM10" s="11">
        <v>150462</v>
      </c>
      <c r="BN10" s="11">
        <f t="shared" si="21"/>
        <v>219758</v>
      </c>
      <c r="BO10" s="11">
        <v>370220</v>
      </c>
      <c r="BP10" s="11">
        <v>98959</v>
      </c>
      <c r="BQ10" s="11">
        <f t="shared" si="22"/>
        <v>231224</v>
      </c>
      <c r="BR10" s="11">
        <v>330183</v>
      </c>
      <c r="BS10" s="11">
        <v>340</v>
      </c>
      <c r="BT10" s="11">
        <f t="shared" si="23"/>
        <v>225</v>
      </c>
      <c r="BU10" s="11">
        <v>565</v>
      </c>
      <c r="BV10" s="11">
        <v>62140</v>
      </c>
      <c r="BW10" s="11">
        <f t="shared" si="24"/>
        <v>200703</v>
      </c>
      <c r="BX10" s="11">
        <v>262843</v>
      </c>
      <c r="BY10" s="11"/>
      <c r="BZ10" s="11">
        <f t="shared" si="25"/>
        <v>29</v>
      </c>
      <c r="CA10" s="11">
        <v>29</v>
      </c>
      <c r="CB10" s="11"/>
      <c r="CC10" s="11">
        <f t="shared" si="26"/>
        <v>6814</v>
      </c>
      <c r="CD10" s="11">
        <v>6814</v>
      </c>
      <c r="CE10" s="11">
        <v>19963</v>
      </c>
      <c r="CF10" s="11">
        <f t="shared" si="27"/>
        <v>26811</v>
      </c>
      <c r="CG10" s="11">
        <v>46774</v>
      </c>
      <c r="CH10" s="11">
        <v>7302</v>
      </c>
      <c r="CI10" s="11">
        <f t="shared" si="28"/>
        <v>28991</v>
      </c>
      <c r="CJ10" s="11">
        <v>36293</v>
      </c>
      <c r="CK10" s="11">
        <v>44218</v>
      </c>
      <c r="CL10" s="11">
        <f t="shared" si="29"/>
        <v>15592</v>
      </c>
      <c r="CM10" s="11">
        <v>59810</v>
      </c>
      <c r="CN10" s="11"/>
      <c r="CO10" s="11">
        <f t="shared" si="30"/>
        <v>56406</v>
      </c>
      <c r="CP10" s="11">
        <v>56406</v>
      </c>
      <c r="CQ10" s="11">
        <v>17987</v>
      </c>
      <c r="CR10" s="11">
        <f t="shared" si="31"/>
        <v>71275</v>
      </c>
      <c r="CS10" s="11">
        <v>89262</v>
      </c>
      <c r="CT10" s="39">
        <v>175849</v>
      </c>
      <c r="CU10" s="11">
        <f t="shared" si="32"/>
        <v>619785</v>
      </c>
      <c r="CV10" s="39">
        <v>795634</v>
      </c>
      <c r="CW10" s="11">
        <v>6976</v>
      </c>
      <c r="CX10" s="11">
        <f t="shared" si="33"/>
        <v>9959</v>
      </c>
      <c r="CY10" s="11">
        <v>16935</v>
      </c>
    </row>
    <row r="11" spans="1:103" x14ac:dyDescent="0.25">
      <c r="A11" s="11" t="s">
        <v>178</v>
      </c>
      <c r="B11" s="11">
        <v>23</v>
      </c>
      <c r="C11" s="11">
        <f t="shared" si="0"/>
        <v>8732</v>
      </c>
      <c r="D11" s="11">
        <v>8755</v>
      </c>
      <c r="E11" s="11"/>
      <c r="F11" s="11">
        <f t="shared" si="1"/>
        <v>7505</v>
      </c>
      <c r="G11" s="11">
        <v>7505</v>
      </c>
      <c r="H11" s="11"/>
      <c r="I11" s="11">
        <f t="shared" si="2"/>
        <v>688211</v>
      </c>
      <c r="J11" s="11">
        <v>688211</v>
      </c>
      <c r="K11" s="11"/>
      <c r="L11" s="11">
        <f t="shared" si="3"/>
        <v>23295</v>
      </c>
      <c r="M11" s="11">
        <v>23295</v>
      </c>
      <c r="N11" s="11">
        <v>3202</v>
      </c>
      <c r="O11" s="11">
        <f t="shared" si="4"/>
        <v>177408</v>
      </c>
      <c r="P11" s="11">
        <v>180610</v>
      </c>
      <c r="Q11" s="11">
        <v>817</v>
      </c>
      <c r="R11" s="11">
        <f t="shared" si="5"/>
        <v>17972</v>
      </c>
      <c r="S11" s="11">
        <v>18789</v>
      </c>
      <c r="T11" s="11">
        <v>3939</v>
      </c>
      <c r="U11" s="11">
        <f t="shared" si="34"/>
        <v>16764</v>
      </c>
      <c r="V11" s="11">
        <v>20703</v>
      </c>
      <c r="W11" s="11"/>
      <c r="X11" s="11">
        <f t="shared" si="7"/>
        <v>3505</v>
      </c>
      <c r="Y11" s="11">
        <v>3505</v>
      </c>
      <c r="Z11" s="11">
        <v>5</v>
      </c>
      <c r="AA11" s="11">
        <f t="shared" si="8"/>
        <v>656</v>
      </c>
      <c r="AB11" s="11">
        <v>661</v>
      </c>
      <c r="AC11" s="11">
        <v>12</v>
      </c>
      <c r="AD11" s="11">
        <f t="shared" si="9"/>
        <v>20</v>
      </c>
      <c r="AE11" s="11">
        <v>32</v>
      </c>
      <c r="AF11" s="11"/>
      <c r="AG11" s="11">
        <f t="shared" si="10"/>
        <v>540</v>
      </c>
      <c r="AH11" s="11">
        <v>540</v>
      </c>
      <c r="AI11" s="11">
        <v>811</v>
      </c>
      <c r="AJ11" s="11">
        <f t="shared" si="11"/>
        <v>15106</v>
      </c>
      <c r="AK11" s="11">
        <v>15917</v>
      </c>
      <c r="AL11" s="11">
        <v>269</v>
      </c>
      <c r="AM11" s="11">
        <f t="shared" si="12"/>
        <v>5894</v>
      </c>
      <c r="AN11" s="11">
        <v>6163</v>
      </c>
      <c r="AO11" s="11">
        <v>1952</v>
      </c>
      <c r="AP11" s="11">
        <f t="shared" si="13"/>
        <v>32931</v>
      </c>
      <c r="AQ11" s="11">
        <v>34883</v>
      </c>
      <c r="AR11" s="11">
        <v>4345</v>
      </c>
      <c r="AS11" s="11">
        <f t="shared" si="14"/>
        <v>152205</v>
      </c>
      <c r="AT11" s="11">
        <v>156550</v>
      </c>
      <c r="AU11" s="11">
        <v>4123</v>
      </c>
      <c r="AV11" s="11">
        <f t="shared" si="15"/>
        <v>55285</v>
      </c>
      <c r="AW11" s="11">
        <v>59408</v>
      </c>
      <c r="AX11" s="11">
        <v>123</v>
      </c>
      <c r="AY11" s="11">
        <f t="shared" si="16"/>
        <v>1481</v>
      </c>
      <c r="AZ11" s="11">
        <v>1604</v>
      </c>
      <c r="BA11" s="11">
        <v>458</v>
      </c>
      <c r="BB11" s="11">
        <f t="shared" si="17"/>
        <v>9889</v>
      </c>
      <c r="BC11" s="11">
        <v>10347</v>
      </c>
      <c r="BD11" s="11">
        <v>826</v>
      </c>
      <c r="BE11" s="11">
        <f t="shared" si="18"/>
        <v>4138</v>
      </c>
      <c r="BF11" s="11">
        <v>4964</v>
      </c>
      <c r="BG11" s="11"/>
      <c r="BH11" s="11">
        <f t="shared" si="19"/>
        <v>4145</v>
      </c>
      <c r="BI11" s="11">
        <v>4145</v>
      </c>
      <c r="BJ11" s="11">
        <v>5955</v>
      </c>
      <c r="BK11" s="11">
        <f t="shared" si="20"/>
        <v>231765</v>
      </c>
      <c r="BL11" s="11">
        <v>237720</v>
      </c>
      <c r="BM11" s="11">
        <f>1829+5320</f>
        <v>7149</v>
      </c>
      <c r="BN11" s="11">
        <f t="shared" si="21"/>
        <v>171570</v>
      </c>
      <c r="BO11" s="11">
        <f>114026+64693</f>
        <v>178719</v>
      </c>
      <c r="BP11" s="11">
        <v>17820</v>
      </c>
      <c r="BQ11" s="11">
        <f t="shared" si="22"/>
        <v>191688</v>
      </c>
      <c r="BR11" s="11">
        <v>209508</v>
      </c>
      <c r="BS11" s="11">
        <v>61</v>
      </c>
      <c r="BT11" s="11">
        <f t="shared" si="23"/>
        <v>82</v>
      </c>
      <c r="BU11" s="11">
        <v>143</v>
      </c>
      <c r="BV11" s="11">
        <v>3086</v>
      </c>
      <c r="BW11" s="11">
        <f t="shared" si="24"/>
        <v>177927</v>
      </c>
      <c r="BX11" s="11">
        <v>181013</v>
      </c>
      <c r="BY11" s="11"/>
      <c r="BZ11" s="11">
        <f t="shared" si="25"/>
        <v>29</v>
      </c>
      <c r="CA11" s="11">
        <v>29</v>
      </c>
      <c r="CB11" s="11"/>
      <c r="CC11" s="11">
        <f t="shared" si="26"/>
        <v>5394</v>
      </c>
      <c r="CD11" s="11">
        <v>5394</v>
      </c>
      <c r="CE11" s="11">
        <v>1939</v>
      </c>
      <c r="CF11" s="11">
        <f t="shared" si="27"/>
        <v>20378</v>
      </c>
      <c r="CG11" s="11">
        <v>22317</v>
      </c>
      <c r="CH11" s="11">
        <v>595</v>
      </c>
      <c r="CI11" s="11">
        <f t="shared" si="28"/>
        <v>18639</v>
      </c>
      <c r="CJ11" s="11">
        <v>19234</v>
      </c>
      <c r="CK11" s="11">
        <v>3648</v>
      </c>
      <c r="CL11" s="11">
        <f t="shared" si="29"/>
        <v>9867</v>
      </c>
      <c r="CM11" s="11">
        <v>13515</v>
      </c>
      <c r="CN11" s="11"/>
      <c r="CO11" s="11">
        <f t="shared" si="30"/>
        <v>50747</v>
      </c>
      <c r="CP11" s="11">
        <v>50747</v>
      </c>
      <c r="CQ11" s="11">
        <v>2070</v>
      </c>
      <c r="CR11" s="11">
        <f t="shared" si="31"/>
        <v>58578</v>
      </c>
      <c r="CS11" s="11">
        <v>60648</v>
      </c>
      <c r="CT11" s="39">
        <v>18949</v>
      </c>
      <c r="CU11" s="11">
        <f t="shared" si="32"/>
        <v>496083</v>
      </c>
      <c r="CV11" s="39">
        <v>515032</v>
      </c>
      <c r="CW11" s="11">
        <v>512</v>
      </c>
      <c r="CX11" s="11">
        <f t="shared" si="33"/>
        <v>9128</v>
      </c>
      <c r="CY11" s="11">
        <v>9640</v>
      </c>
    </row>
    <row r="12" spans="1:103" x14ac:dyDescent="0.25">
      <c r="A12" s="11" t="s">
        <v>179</v>
      </c>
      <c r="B12" s="11">
        <v>5</v>
      </c>
      <c r="C12" s="11">
        <f t="shared" si="0"/>
        <v>403</v>
      </c>
      <c r="D12" s="11">
        <v>408</v>
      </c>
      <c r="E12" s="11"/>
      <c r="F12" s="11">
        <f t="shared" si="1"/>
        <v>29</v>
      </c>
      <c r="G12" s="11">
        <v>29</v>
      </c>
      <c r="H12" s="11"/>
      <c r="I12" s="11">
        <f t="shared" si="2"/>
        <v>2005677</v>
      </c>
      <c r="J12" s="11">
        <v>2005677</v>
      </c>
      <c r="K12" s="11"/>
      <c r="L12" s="11">
        <f t="shared" si="3"/>
        <v>275</v>
      </c>
      <c r="M12" s="11">
        <v>275</v>
      </c>
      <c r="N12" s="11">
        <v>3900</v>
      </c>
      <c r="O12" s="11">
        <f t="shared" si="4"/>
        <v>10102</v>
      </c>
      <c r="P12" s="11">
        <v>14002</v>
      </c>
      <c r="Q12" s="11">
        <v>857</v>
      </c>
      <c r="R12" s="11">
        <f t="shared" si="5"/>
        <v>1483</v>
      </c>
      <c r="S12" s="11">
        <v>2340</v>
      </c>
      <c r="T12" s="11">
        <v>3476</v>
      </c>
      <c r="U12" s="11">
        <f t="shared" si="34"/>
        <v>1328</v>
      </c>
      <c r="V12" s="11">
        <v>4804</v>
      </c>
      <c r="W12" s="11"/>
      <c r="X12" s="11">
        <f t="shared" si="7"/>
        <v>40</v>
      </c>
      <c r="Y12" s="11">
        <v>40</v>
      </c>
      <c r="Z12" s="11">
        <v>1</v>
      </c>
      <c r="AA12" s="11">
        <f t="shared" si="8"/>
        <v>4</v>
      </c>
      <c r="AB12" s="11">
        <v>5</v>
      </c>
      <c r="AC12" s="11">
        <v>3</v>
      </c>
      <c r="AD12" s="11">
        <f t="shared" si="9"/>
        <v>0</v>
      </c>
      <c r="AE12" s="11">
        <v>3</v>
      </c>
      <c r="AF12" s="11"/>
      <c r="AG12" s="11">
        <f t="shared" si="10"/>
        <v>274</v>
      </c>
      <c r="AH12" s="11">
        <v>274</v>
      </c>
      <c r="AI12" s="11">
        <v>723</v>
      </c>
      <c r="AJ12" s="11">
        <f t="shared" si="11"/>
        <v>1948</v>
      </c>
      <c r="AK12" s="11">
        <v>2671</v>
      </c>
      <c r="AL12" s="11">
        <v>225</v>
      </c>
      <c r="AM12" s="11">
        <f t="shared" si="12"/>
        <v>167</v>
      </c>
      <c r="AN12" s="11">
        <v>392</v>
      </c>
      <c r="AO12" s="11">
        <v>2650</v>
      </c>
      <c r="AP12" s="11">
        <f t="shared" si="13"/>
        <v>3414</v>
      </c>
      <c r="AQ12" s="11">
        <v>6064</v>
      </c>
      <c r="AR12" s="11">
        <v>3753</v>
      </c>
      <c r="AS12" s="11">
        <f t="shared" si="14"/>
        <v>9924</v>
      </c>
      <c r="AT12" s="11">
        <v>13677</v>
      </c>
      <c r="AU12" s="11">
        <v>3007</v>
      </c>
      <c r="AV12" s="11">
        <f t="shared" si="15"/>
        <v>9596</v>
      </c>
      <c r="AW12" s="11">
        <v>12603</v>
      </c>
      <c r="AX12" s="11">
        <v>89</v>
      </c>
      <c r="AY12" s="11">
        <f t="shared" si="16"/>
        <v>98</v>
      </c>
      <c r="AZ12" s="11">
        <v>187</v>
      </c>
      <c r="BA12" s="11">
        <v>437</v>
      </c>
      <c r="BB12" s="11">
        <f t="shared" si="17"/>
        <v>673</v>
      </c>
      <c r="BC12" s="11">
        <v>1110</v>
      </c>
      <c r="BD12" s="11">
        <v>590</v>
      </c>
      <c r="BE12" s="11">
        <f t="shared" si="18"/>
        <v>581</v>
      </c>
      <c r="BF12" s="11">
        <v>1171</v>
      </c>
      <c r="BG12" s="11"/>
      <c r="BH12" s="11">
        <f t="shared" si="19"/>
        <v>54</v>
      </c>
      <c r="BI12" s="11">
        <v>54</v>
      </c>
      <c r="BJ12" s="11">
        <v>8142</v>
      </c>
      <c r="BK12" s="11">
        <f t="shared" si="20"/>
        <v>141895</v>
      </c>
      <c r="BL12" s="11">
        <v>150037</v>
      </c>
      <c r="BM12" s="11">
        <v>10744</v>
      </c>
      <c r="BN12" s="11">
        <f t="shared" si="21"/>
        <v>18294</v>
      </c>
      <c r="BO12" s="11">
        <v>29038</v>
      </c>
      <c r="BP12" s="11">
        <v>9952</v>
      </c>
      <c r="BQ12" s="11">
        <f t="shared" si="22"/>
        <v>17148</v>
      </c>
      <c r="BR12" s="11">
        <v>27100</v>
      </c>
      <c r="BS12" s="11">
        <v>65</v>
      </c>
      <c r="BT12" s="11">
        <f t="shared" si="23"/>
        <v>31</v>
      </c>
      <c r="BU12" s="11">
        <v>96</v>
      </c>
      <c r="BV12" s="11">
        <v>3486</v>
      </c>
      <c r="BW12" s="11">
        <f t="shared" si="24"/>
        <v>4398</v>
      </c>
      <c r="BX12" s="11">
        <v>7884</v>
      </c>
      <c r="BY12" s="11"/>
      <c r="BZ12" s="11"/>
      <c r="CA12" s="11"/>
      <c r="CB12" s="11"/>
      <c r="CC12" s="11">
        <f t="shared" si="26"/>
        <v>917</v>
      </c>
      <c r="CD12" s="11">
        <v>917</v>
      </c>
      <c r="CE12" s="11">
        <v>1761</v>
      </c>
      <c r="CF12" s="11">
        <f t="shared" si="27"/>
        <v>3183</v>
      </c>
      <c r="CG12" s="11">
        <v>4944</v>
      </c>
      <c r="CH12" s="11">
        <v>757</v>
      </c>
      <c r="CI12" s="11">
        <f t="shared" si="28"/>
        <v>7161</v>
      </c>
      <c r="CJ12" s="11">
        <v>7918</v>
      </c>
      <c r="CK12" s="11">
        <v>3424</v>
      </c>
      <c r="CL12" s="11">
        <f t="shared" si="29"/>
        <v>2488</v>
      </c>
      <c r="CM12" s="11">
        <v>5912</v>
      </c>
      <c r="CN12" s="11"/>
      <c r="CO12" s="11">
        <f t="shared" si="30"/>
        <v>2698</v>
      </c>
      <c r="CP12" s="11">
        <v>2698</v>
      </c>
      <c r="CQ12" s="11">
        <v>1939</v>
      </c>
      <c r="CR12" s="11">
        <f t="shared" si="31"/>
        <v>6655</v>
      </c>
      <c r="CS12" s="11">
        <v>8594</v>
      </c>
      <c r="CT12" s="39">
        <v>13895</v>
      </c>
      <c r="CU12" s="11">
        <f t="shared" si="32"/>
        <v>37784</v>
      </c>
      <c r="CV12" s="39">
        <v>51679</v>
      </c>
      <c r="CW12" s="11">
        <v>616</v>
      </c>
      <c r="CX12" s="11">
        <f t="shared" si="33"/>
        <v>488</v>
      </c>
      <c r="CY12" s="11">
        <v>1104</v>
      </c>
    </row>
    <row r="13" spans="1:103" x14ac:dyDescent="0.25">
      <c r="A13" s="11" t="s">
        <v>180</v>
      </c>
      <c r="B13" s="11">
        <v>1</v>
      </c>
      <c r="C13" s="11">
        <f t="shared" si="0"/>
        <v>20</v>
      </c>
      <c r="D13" s="11">
        <v>21</v>
      </c>
      <c r="E13" s="11"/>
      <c r="F13" s="11">
        <f t="shared" si="1"/>
        <v>173</v>
      </c>
      <c r="G13" s="11">
        <v>173</v>
      </c>
      <c r="H13" s="11"/>
      <c r="I13" s="11">
        <f t="shared" si="2"/>
        <v>164332</v>
      </c>
      <c r="J13" s="11">
        <v>164332</v>
      </c>
      <c r="K13" s="11"/>
      <c r="L13" s="11">
        <f t="shared" si="3"/>
        <v>291</v>
      </c>
      <c r="M13" s="11">
        <v>291</v>
      </c>
      <c r="N13" s="11">
        <v>5809</v>
      </c>
      <c r="O13" s="11">
        <f t="shared" si="4"/>
        <v>5998</v>
      </c>
      <c r="P13" s="11">
        <v>11807</v>
      </c>
      <c r="Q13" s="11">
        <v>1301</v>
      </c>
      <c r="R13" s="11">
        <f t="shared" si="5"/>
        <v>780</v>
      </c>
      <c r="S13" s="11">
        <v>2081</v>
      </c>
      <c r="T13" s="11">
        <v>4749</v>
      </c>
      <c r="U13" s="11">
        <f t="shared" si="34"/>
        <v>585</v>
      </c>
      <c r="V13" s="11">
        <v>5334</v>
      </c>
      <c r="W13" s="11"/>
      <c r="X13" s="11">
        <f t="shared" si="7"/>
        <v>14</v>
      </c>
      <c r="Y13" s="11">
        <v>14</v>
      </c>
      <c r="Z13" s="11"/>
      <c r="AA13" s="11">
        <f t="shared" si="8"/>
        <v>1</v>
      </c>
      <c r="AB13" s="11">
        <v>1</v>
      </c>
      <c r="AC13" s="11"/>
      <c r="AD13" s="11">
        <f t="shared" si="9"/>
        <v>0</v>
      </c>
      <c r="AE13" s="11"/>
      <c r="AF13" s="11"/>
      <c r="AG13" s="11">
        <f t="shared" si="10"/>
        <v>146</v>
      </c>
      <c r="AH13" s="11">
        <v>146</v>
      </c>
      <c r="AI13" s="11">
        <v>1012</v>
      </c>
      <c r="AJ13" s="11">
        <f t="shared" si="11"/>
        <v>1584</v>
      </c>
      <c r="AK13" s="11">
        <v>2596</v>
      </c>
      <c r="AL13" s="11">
        <v>105</v>
      </c>
      <c r="AM13" s="11">
        <f t="shared" si="12"/>
        <v>81</v>
      </c>
      <c r="AN13" s="11">
        <v>186</v>
      </c>
      <c r="AO13" s="11">
        <v>3633</v>
      </c>
      <c r="AP13" s="11">
        <f t="shared" si="13"/>
        <v>4170</v>
      </c>
      <c r="AQ13" s="11">
        <v>7803</v>
      </c>
      <c r="AR13" s="11">
        <v>6058</v>
      </c>
      <c r="AS13" s="11">
        <f t="shared" si="14"/>
        <v>3016</v>
      </c>
      <c r="AT13" s="11">
        <v>9074</v>
      </c>
      <c r="AU13" s="11">
        <v>5663</v>
      </c>
      <c r="AV13" s="11">
        <f t="shared" si="15"/>
        <v>5337</v>
      </c>
      <c r="AW13" s="11">
        <v>11000</v>
      </c>
      <c r="AX13" s="11">
        <v>112</v>
      </c>
      <c r="AY13" s="11">
        <f t="shared" si="16"/>
        <v>90</v>
      </c>
      <c r="AZ13" s="11">
        <v>202</v>
      </c>
      <c r="BA13" s="11">
        <v>772</v>
      </c>
      <c r="BB13" s="11">
        <f t="shared" si="17"/>
        <v>521</v>
      </c>
      <c r="BC13" s="11">
        <v>1293</v>
      </c>
      <c r="BD13" s="11">
        <v>835</v>
      </c>
      <c r="BE13" s="11">
        <f t="shared" si="18"/>
        <v>136</v>
      </c>
      <c r="BF13" s="11">
        <v>971</v>
      </c>
      <c r="BG13" s="11"/>
      <c r="BH13" s="11">
        <f t="shared" si="19"/>
        <v>23</v>
      </c>
      <c r="BI13" s="11">
        <v>23</v>
      </c>
      <c r="BJ13" s="11">
        <v>9485</v>
      </c>
      <c r="BK13" s="11">
        <f t="shared" si="20"/>
        <v>124518</v>
      </c>
      <c r="BL13" s="11">
        <v>134003</v>
      </c>
      <c r="BM13" s="11">
        <v>18130</v>
      </c>
      <c r="BN13" s="11">
        <f t="shared" si="21"/>
        <v>14780</v>
      </c>
      <c r="BO13" s="11">
        <v>32910</v>
      </c>
      <c r="BP13" s="11">
        <v>11878</v>
      </c>
      <c r="BQ13" s="11">
        <f t="shared" si="22"/>
        <v>11746</v>
      </c>
      <c r="BR13" s="11">
        <v>23624</v>
      </c>
      <c r="BS13" s="11">
        <v>96</v>
      </c>
      <c r="BT13" s="11">
        <f t="shared" si="23"/>
        <v>51</v>
      </c>
      <c r="BU13" s="11">
        <v>147</v>
      </c>
      <c r="BV13" s="11">
        <v>5867</v>
      </c>
      <c r="BW13" s="11">
        <f t="shared" si="24"/>
        <v>7336</v>
      </c>
      <c r="BX13" s="11">
        <v>13203</v>
      </c>
      <c r="BY13" s="11"/>
      <c r="BZ13" s="11"/>
      <c r="CA13" s="11"/>
      <c r="CB13" s="11"/>
      <c r="CC13" s="11">
        <f t="shared" si="26"/>
        <v>503</v>
      </c>
      <c r="CD13" s="11">
        <v>503</v>
      </c>
      <c r="CE13" s="11">
        <v>2849</v>
      </c>
      <c r="CF13" s="11">
        <f t="shared" si="27"/>
        <v>1575</v>
      </c>
      <c r="CG13" s="11">
        <v>4424</v>
      </c>
      <c r="CH13" s="11">
        <v>1039</v>
      </c>
      <c r="CI13" s="11">
        <f t="shared" si="28"/>
        <v>1254</v>
      </c>
      <c r="CJ13" s="11">
        <v>2293</v>
      </c>
      <c r="CK13" s="11">
        <v>4914</v>
      </c>
      <c r="CL13" s="11">
        <f t="shared" si="29"/>
        <v>822</v>
      </c>
      <c r="CM13" s="11">
        <v>5736</v>
      </c>
      <c r="CN13" s="11"/>
      <c r="CO13" s="11">
        <f t="shared" si="30"/>
        <v>2079</v>
      </c>
      <c r="CP13" s="11">
        <v>2079</v>
      </c>
      <c r="CQ13" s="11">
        <v>3192</v>
      </c>
      <c r="CR13" s="11">
        <f t="shared" si="31"/>
        <v>2915</v>
      </c>
      <c r="CS13" s="11">
        <v>6107</v>
      </c>
      <c r="CT13" s="39">
        <v>20385</v>
      </c>
      <c r="CU13" s="11">
        <f t="shared" si="32"/>
        <v>35196</v>
      </c>
      <c r="CV13" s="39">
        <v>55581</v>
      </c>
      <c r="CW13" s="11">
        <v>1150</v>
      </c>
      <c r="CX13" s="11">
        <f t="shared" si="33"/>
        <v>108</v>
      </c>
      <c r="CY13" s="11">
        <v>1258</v>
      </c>
    </row>
    <row r="14" spans="1:103" x14ac:dyDescent="0.25">
      <c r="A14" s="11" t="s">
        <v>181</v>
      </c>
      <c r="B14" s="11"/>
      <c r="C14" s="11">
        <f t="shared" si="0"/>
        <v>0</v>
      </c>
      <c r="D14" s="11"/>
      <c r="E14" s="11"/>
      <c r="F14" s="11">
        <f t="shared" si="1"/>
        <v>0</v>
      </c>
      <c r="G14" s="11"/>
      <c r="H14" s="11"/>
      <c r="I14" s="11">
        <f t="shared" si="2"/>
        <v>1932403</v>
      </c>
      <c r="J14" s="11">
        <v>1932403</v>
      </c>
      <c r="K14" s="11"/>
      <c r="L14" s="11">
        <f t="shared" si="3"/>
        <v>1060</v>
      </c>
      <c r="M14" s="11">
        <v>1060</v>
      </c>
      <c r="N14" s="11">
        <v>38390</v>
      </c>
      <c r="O14" s="11">
        <f t="shared" si="4"/>
        <v>9323</v>
      </c>
      <c r="P14" s="11">
        <v>47713</v>
      </c>
      <c r="Q14" s="11">
        <v>10271</v>
      </c>
      <c r="R14" s="11">
        <f t="shared" si="5"/>
        <v>1772</v>
      </c>
      <c r="S14" s="11">
        <v>12043</v>
      </c>
      <c r="T14" s="11">
        <v>16513</v>
      </c>
      <c r="U14" s="11">
        <f t="shared" si="34"/>
        <v>15257</v>
      </c>
      <c r="V14" s="11">
        <v>31770</v>
      </c>
      <c r="W14" s="11"/>
      <c r="X14" s="11">
        <f t="shared" si="7"/>
        <v>7</v>
      </c>
      <c r="Y14" s="11">
        <v>7</v>
      </c>
      <c r="Z14" s="11"/>
      <c r="AA14" s="11">
        <f t="shared" si="8"/>
        <v>0</v>
      </c>
      <c r="AB14" s="11"/>
      <c r="AC14" s="11"/>
      <c r="AD14" s="11">
        <f t="shared" si="9"/>
        <v>0</v>
      </c>
      <c r="AE14" s="11"/>
      <c r="AF14" s="11"/>
      <c r="AG14" s="11">
        <f t="shared" si="10"/>
        <v>49</v>
      </c>
      <c r="AH14" s="11">
        <v>49</v>
      </c>
      <c r="AI14" s="11">
        <v>5776</v>
      </c>
      <c r="AJ14" s="11">
        <f t="shared" si="11"/>
        <v>10425</v>
      </c>
      <c r="AK14" s="11">
        <v>16201</v>
      </c>
      <c r="AL14" s="11"/>
      <c r="AM14" s="11">
        <f t="shared" si="12"/>
        <v>31</v>
      </c>
      <c r="AN14" s="11">
        <v>31</v>
      </c>
      <c r="AO14" s="11">
        <v>19675</v>
      </c>
      <c r="AP14" s="11">
        <f t="shared" si="13"/>
        <v>807</v>
      </c>
      <c r="AQ14" s="11">
        <v>20482</v>
      </c>
      <c r="AR14" s="11">
        <v>39856</v>
      </c>
      <c r="AS14" s="11">
        <f t="shared" si="14"/>
        <v>10787</v>
      </c>
      <c r="AT14" s="11">
        <v>50643</v>
      </c>
      <c r="AU14" s="11">
        <v>23707</v>
      </c>
      <c r="AV14" s="11">
        <f t="shared" si="15"/>
        <v>4198</v>
      </c>
      <c r="AW14" s="11">
        <v>27905</v>
      </c>
      <c r="AX14" s="11">
        <v>134</v>
      </c>
      <c r="AY14" s="11">
        <f t="shared" si="16"/>
        <v>54</v>
      </c>
      <c r="AZ14" s="11">
        <v>188</v>
      </c>
      <c r="BA14" s="11">
        <v>1959</v>
      </c>
      <c r="BB14" s="11">
        <f t="shared" si="17"/>
        <v>488</v>
      </c>
      <c r="BC14" s="11">
        <v>2447</v>
      </c>
      <c r="BD14" s="11">
        <v>3295</v>
      </c>
      <c r="BE14" s="11">
        <f t="shared" si="18"/>
        <v>371</v>
      </c>
      <c r="BF14" s="11">
        <v>3666</v>
      </c>
      <c r="BG14" s="11"/>
      <c r="BH14" s="11">
        <f t="shared" si="19"/>
        <v>3</v>
      </c>
      <c r="BI14" s="11">
        <v>3</v>
      </c>
      <c r="BJ14" s="11">
        <v>92693</v>
      </c>
      <c r="BK14" s="11">
        <f t="shared" si="20"/>
        <v>33448</v>
      </c>
      <c r="BL14" s="11">
        <v>126141</v>
      </c>
      <c r="BM14" s="11">
        <v>114439</v>
      </c>
      <c r="BN14" s="11">
        <f t="shared" si="21"/>
        <v>15114</v>
      </c>
      <c r="BO14" s="11">
        <v>129553</v>
      </c>
      <c r="BP14" s="11">
        <v>59309</v>
      </c>
      <c r="BQ14" s="11">
        <f t="shared" si="22"/>
        <v>10642</v>
      </c>
      <c r="BR14" s="11">
        <v>69951</v>
      </c>
      <c r="BS14" s="11">
        <v>118</v>
      </c>
      <c r="BT14" s="11">
        <f t="shared" si="23"/>
        <v>61</v>
      </c>
      <c r="BU14" s="11">
        <v>179</v>
      </c>
      <c r="BV14" s="11">
        <v>49701</v>
      </c>
      <c r="BW14" s="11">
        <f t="shared" si="24"/>
        <v>11042</v>
      </c>
      <c r="BX14" s="11">
        <v>60743</v>
      </c>
      <c r="BY14" s="11"/>
      <c r="BZ14" s="11"/>
      <c r="CA14" s="11"/>
      <c r="CB14" s="11"/>
      <c r="CC14" s="11">
        <f t="shared" si="26"/>
        <v>0</v>
      </c>
      <c r="CD14" s="11"/>
      <c r="CE14" s="11">
        <v>13414</v>
      </c>
      <c r="CF14" s="11">
        <f t="shared" si="27"/>
        <v>1675</v>
      </c>
      <c r="CG14" s="11">
        <v>15089</v>
      </c>
      <c r="CH14" s="11">
        <f>2278+2633</f>
        <v>4911</v>
      </c>
      <c r="CI14" s="11">
        <f t="shared" si="28"/>
        <v>1937</v>
      </c>
      <c r="CJ14" s="11">
        <f>3255+3593</f>
        <v>6848</v>
      </c>
      <c r="CK14" s="11">
        <v>32232</v>
      </c>
      <c r="CL14" s="11">
        <f t="shared" si="29"/>
        <v>2415</v>
      </c>
      <c r="CM14" s="11">
        <v>34647</v>
      </c>
      <c r="CN14" s="11"/>
      <c r="CO14" s="11">
        <f t="shared" si="30"/>
        <v>882</v>
      </c>
      <c r="CP14" s="11">
        <v>882</v>
      </c>
      <c r="CQ14" s="11">
        <v>10786</v>
      </c>
      <c r="CR14" s="11">
        <f t="shared" si="31"/>
        <v>3127</v>
      </c>
      <c r="CS14" s="11">
        <v>13913</v>
      </c>
      <c r="CT14" s="39">
        <v>122620</v>
      </c>
      <c r="CU14" s="11">
        <f t="shared" si="32"/>
        <v>50722</v>
      </c>
      <c r="CV14" s="39">
        <v>173342</v>
      </c>
      <c r="CW14" s="11">
        <v>4698</v>
      </c>
      <c r="CX14" s="11">
        <f t="shared" si="33"/>
        <v>235</v>
      </c>
      <c r="CY14" s="11">
        <v>4933</v>
      </c>
    </row>
  </sheetData>
  <mergeCells count="34">
    <mergeCell ref="CQ3:CS3"/>
    <mergeCell ref="CT3:CV3"/>
    <mergeCell ref="CW3:CY3"/>
    <mergeCell ref="BV3:BX3"/>
    <mergeCell ref="CB3:CD3"/>
    <mergeCell ref="CE3:CG3"/>
    <mergeCell ref="CH3:CJ3"/>
    <mergeCell ref="CK3:CM3"/>
    <mergeCell ref="CN3:CP3"/>
    <mergeCell ref="BY3:CA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</cols>
  <sheetData>
    <row r="1" spans="1:35" ht="18.75" x14ac:dyDescent="0.3">
      <c r="A1" s="24" t="s">
        <v>147</v>
      </c>
    </row>
    <row r="2" spans="1:35" x14ac:dyDescent="0.25">
      <c r="A2" s="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" t="s">
        <v>33</v>
      </c>
      <c r="AI2" s="22" t="s">
        <v>34</v>
      </c>
    </row>
    <row r="3" spans="1:35" x14ac:dyDescent="0.25">
      <c r="A3" s="16" t="s">
        <v>148</v>
      </c>
      <c r="B3" s="52">
        <v>8.34</v>
      </c>
      <c r="C3" s="52">
        <v>-0.21</v>
      </c>
      <c r="D3" s="53">
        <v>-0.84099999999999997</v>
      </c>
      <c r="E3" s="52">
        <v>0.39</v>
      </c>
      <c r="F3" s="52">
        <v>0.17</v>
      </c>
      <c r="G3" s="52">
        <v>0.5</v>
      </c>
      <c r="H3" s="53">
        <v>0.15759999999999999</v>
      </c>
      <c r="I3" s="53">
        <v>5.1999999999999998E-3</v>
      </c>
      <c r="J3" s="52">
        <v>-0.57999999999999996</v>
      </c>
      <c r="K3" s="52">
        <v>1.46</v>
      </c>
      <c r="L3" s="53">
        <v>-2.76E-2</v>
      </c>
      <c r="M3" s="52">
        <v>0.13</v>
      </c>
      <c r="N3" s="39">
        <v>2.62</v>
      </c>
      <c r="O3" s="53">
        <v>5.0099999999999999E-2</v>
      </c>
      <c r="P3" s="52">
        <v>-0.08</v>
      </c>
      <c r="Q3" s="53">
        <v>0.16259999999999999</v>
      </c>
      <c r="R3" s="39">
        <v>0.65</v>
      </c>
      <c r="S3" s="52">
        <v>0.42</v>
      </c>
      <c r="T3" s="53">
        <v>0.54700000000000004</v>
      </c>
      <c r="U3" s="52">
        <v>0.35</v>
      </c>
      <c r="V3" s="56">
        <v>-0.10952780778693703</v>
      </c>
      <c r="W3" s="39">
        <v>12.36</v>
      </c>
      <c r="X3" s="39"/>
      <c r="Y3" s="53">
        <v>5.4699999999999999E-2</v>
      </c>
      <c r="Z3" s="52">
        <v>0.26</v>
      </c>
      <c r="AA3" s="39"/>
      <c r="AB3" s="39">
        <v>0.73</v>
      </c>
      <c r="AC3" s="53">
        <v>-4.2000000000000003E-2</v>
      </c>
      <c r="AD3" s="53">
        <v>0.2656</v>
      </c>
      <c r="AE3" s="53">
        <v>5.4899999999999997E-2</v>
      </c>
      <c r="AF3" s="52">
        <v>0.32</v>
      </c>
      <c r="AG3" s="52">
        <v>0.36</v>
      </c>
      <c r="AH3" s="53">
        <v>2.47E-2</v>
      </c>
      <c r="AI3" s="53">
        <v>0.1178</v>
      </c>
    </row>
    <row r="4" spans="1:35" ht="15" customHeight="1" x14ac:dyDescent="0.25">
      <c r="A4" s="16" t="s">
        <v>149</v>
      </c>
      <c r="B4" s="39"/>
      <c r="C4" s="52">
        <v>0.77</v>
      </c>
      <c r="D4" s="39"/>
      <c r="E4" s="39"/>
      <c r="F4" s="52">
        <v>0.53</v>
      </c>
      <c r="G4" s="39">
        <v>1.01</v>
      </c>
      <c r="H4" s="39">
        <v>0.75</v>
      </c>
      <c r="I4" s="39"/>
      <c r="J4" s="54"/>
      <c r="K4" s="39">
        <v>0.17</v>
      </c>
      <c r="L4" s="39"/>
      <c r="M4" s="39"/>
      <c r="N4" s="39">
        <v>0.64</v>
      </c>
      <c r="O4" s="39">
        <v>0.86</v>
      </c>
      <c r="P4" s="39"/>
      <c r="Q4" s="39"/>
      <c r="R4" s="39"/>
      <c r="S4" s="39">
        <v>0.84</v>
      </c>
      <c r="T4" s="39">
        <v>0.75</v>
      </c>
      <c r="U4" s="39"/>
      <c r="V4" s="39"/>
      <c r="W4" s="39"/>
      <c r="X4" s="39"/>
      <c r="Y4" s="39">
        <v>0.12</v>
      </c>
      <c r="Z4" s="39"/>
      <c r="AA4" s="39"/>
      <c r="AB4" s="39"/>
      <c r="AC4" s="39">
        <v>0.62</v>
      </c>
      <c r="AD4" s="39"/>
      <c r="AE4" s="39"/>
      <c r="AF4" s="52">
        <v>0.82</v>
      </c>
      <c r="AG4" s="39"/>
      <c r="AH4" s="53">
        <v>1.3978999999999999</v>
      </c>
      <c r="AI4" s="39"/>
    </row>
    <row r="5" spans="1:35" ht="15" customHeight="1" x14ac:dyDescent="0.25">
      <c r="A5" s="16" t="s">
        <v>150</v>
      </c>
      <c r="B5" s="39">
        <v>0.36</v>
      </c>
      <c r="C5" s="39"/>
      <c r="D5" s="39">
        <v>0.03</v>
      </c>
      <c r="E5" s="39">
        <v>1.1499999999999999</v>
      </c>
      <c r="F5" s="39"/>
      <c r="G5" s="39"/>
      <c r="H5" s="39"/>
      <c r="I5" s="39"/>
      <c r="J5" s="39">
        <v>0.3</v>
      </c>
      <c r="K5" s="39"/>
      <c r="L5" s="53">
        <v>0.30380000000000001</v>
      </c>
      <c r="M5" s="39">
        <v>0.69</v>
      </c>
      <c r="N5" s="39"/>
      <c r="O5" s="39"/>
      <c r="P5" s="39">
        <v>0.64</v>
      </c>
      <c r="Q5" s="39">
        <v>0.83</v>
      </c>
      <c r="R5" s="39">
        <v>0.56000000000000005</v>
      </c>
      <c r="S5" s="39"/>
      <c r="T5" s="39"/>
      <c r="U5" s="39">
        <v>1.34</v>
      </c>
      <c r="V5" s="26">
        <v>17.644059106962342</v>
      </c>
      <c r="W5" s="39">
        <v>0.46</v>
      </c>
      <c r="X5" s="39"/>
      <c r="Y5" s="39"/>
      <c r="Z5" s="39">
        <v>1.18</v>
      </c>
      <c r="AA5" s="39">
        <v>0.05</v>
      </c>
      <c r="AB5" s="39">
        <v>1.19</v>
      </c>
      <c r="AC5" s="39"/>
      <c r="AD5" s="39"/>
      <c r="AE5" s="53">
        <v>0.31159999999999999</v>
      </c>
      <c r="AF5" s="39"/>
      <c r="AG5" s="39">
        <v>0.94</v>
      </c>
      <c r="AH5" s="39"/>
      <c r="AI5" s="39">
        <v>0.4</v>
      </c>
    </row>
    <row r="6" spans="1:35" x14ac:dyDescent="0.25">
      <c r="A6" s="16" t="s">
        <v>151</v>
      </c>
      <c r="B6" s="52">
        <v>0.6</v>
      </c>
      <c r="C6" s="39"/>
      <c r="D6" s="53">
        <v>6.9699999999999998E-2</v>
      </c>
      <c r="E6" s="52">
        <v>-0.02</v>
      </c>
      <c r="F6" s="39"/>
      <c r="G6" s="39"/>
      <c r="H6" s="39"/>
      <c r="I6" s="52">
        <v>0.97</v>
      </c>
      <c r="J6" s="52">
        <v>-0.15</v>
      </c>
      <c r="K6" s="39"/>
      <c r="L6" s="39">
        <v>0.06</v>
      </c>
      <c r="M6" s="52">
        <v>0.25</v>
      </c>
      <c r="N6" s="39"/>
      <c r="O6" s="39"/>
      <c r="P6" s="52">
        <v>0.02</v>
      </c>
      <c r="Q6" s="53">
        <v>7.4700000000000003E-2</v>
      </c>
      <c r="R6" s="52">
        <v>0.08</v>
      </c>
      <c r="S6" s="39">
        <v>0.28000000000000003</v>
      </c>
      <c r="T6" s="39"/>
      <c r="U6" s="52">
        <v>-0.23</v>
      </c>
      <c r="V6" s="53">
        <v>-0.8869153828262859</v>
      </c>
      <c r="W6" s="39"/>
      <c r="X6" s="39"/>
      <c r="Y6" s="39"/>
      <c r="Z6" s="52">
        <v>0.04</v>
      </c>
      <c r="AA6" s="52">
        <v>1.04</v>
      </c>
      <c r="AB6" s="39">
        <v>0.61</v>
      </c>
      <c r="AC6" s="39"/>
      <c r="AD6" s="39">
        <v>0.68</v>
      </c>
      <c r="AE6" s="53">
        <v>0.1565</v>
      </c>
      <c r="AF6" s="39"/>
      <c r="AG6" s="52">
        <v>0.15</v>
      </c>
      <c r="AH6" s="39"/>
      <c r="AI6" s="53">
        <v>0.13270000000000001</v>
      </c>
    </row>
    <row r="7" spans="1:35" x14ac:dyDescent="0.25">
      <c r="A7" s="16" t="s">
        <v>152</v>
      </c>
      <c r="B7" s="39"/>
      <c r="C7" s="52">
        <v>0.17</v>
      </c>
      <c r="D7" s="39"/>
      <c r="E7" s="39"/>
      <c r="F7" s="52">
        <v>0.12</v>
      </c>
      <c r="G7" s="52">
        <v>0.09</v>
      </c>
      <c r="H7" s="53">
        <v>9.1200000000000003E-2</v>
      </c>
      <c r="I7" s="52">
        <v>1.56</v>
      </c>
      <c r="J7" s="39"/>
      <c r="K7" s="52">
        <v>-0.12</v>
      </c>
      <c r="L7" s="39"/>
      <c r="M7" s="39"/>
      <c r="N7" s="39">
        <v>0.23</v>
      </c>
      <c r="O7" s="53">
        <v>0.1016</v>
      </c>
      <c r="P7" s="39"/>
      <c r="Q7" s="39"/>
      <c r="R7" s="39"/>
      <c r="S7" s="39"/>
      <c r="T7" s="53">
        <v>0.41</v>
      </c>
      <c r="U7" s="39"/>
      <c r="V7" s="39"/>
      <c r="W7" s="39">
        <v>0.16</v>
      </c>
      <c r="X7" s="39"/>
      <c r="Y7" s="53">
        <v>-9.1800000000000007E-2</v>
      </c>
      <c r="Z7" s="39"/>
      <c r="AA7" s="39"/>
      <c r="AB7" s="39"/>
      <c r="AC7" s="53">
        <v>7.0000000000000001E-3</v>
      </c>
      <c r="AD7" s="53">
        <v>0.1678</v>
      </c>
      <c r="AE7" s="39"/>
      <c r="AF7" s="52">
        <v>0.71</v>
      </c>
      <c r="AG7" s="39"/>
      <c r="AH7" s="53">
        <v>-0.37919999999999998</v>
      </c>
      <c r="AI7" s="39"/>
    </row>
    <row r="8" spans="1:35" x14ac:dyDescent="0.25">
      <c r="A8" s="16" t="s">
        <v>153</v>
      </c>
      <c r="B8" s="52">
        <v>0.51</v>
      </c>
      <c r="C8" s="52">
        <v>0.94</v>
      </c>
      <c r="D8" s="53">
        <v>0.22509999999999999</v>
      </c>
      <c r="E8" s="52">
        <v>0.78</v>
      </c>
      <c r="F8" s="52">
        <v>0.6</v>
      </c>
      <c r="G8" s="52">
        <v>0.75</v>
      </c>
      <c r="H8" s="53">
        <v>0.76829999999999998</v>
      </c>
      <c r="I8" s="52">
        <v>0.95</v>
      </c>
      <c r="J8" s="52">
        <v>0.74</v>
      </c>
      <c r="K8" s="52">
        <v>0.54</v>
      </c>
      <c r="L8" s="53">
        <v>0.67400000000000004</v>
      </c>
      <c r="M8" s="52">
        <v>0.73</v>
      </c>
      <c r="N8" s="53">
        <v>0.77680000000000005</v>
      </c>
      <c r="O8" s="53">
        <v>0.5353</v>
      </c>
      <c r="P8" s="52">
        <v>0.67</v>
      </c>
      <c r="Q8" s="53">
        <v>0.69589999999999996</v>
      </c>
      <c r="R8" s="52">
        <v>0.85</v>
      </c>
      <c r="S8" s="52">
        <v>0.77</v>
      </c>
      <c r="T8" s="53">
        <v>0.57599999999999996</v>
      </c>
      <c r="U8" s="52">
        <v>0.77</v>
      </c>
      <c r="V8" s="53">
        <v>0.70145352742375455</v>
      </c>
      <c r="W8" s="39">
        <v>80.56</v>
      </c>
      <c r="X8" s="39"/>
      <c r="Y8" s="53">
        <v>0.71179999999999999</v>
      </c>
      <c r="Z8" s="52">
        <v>0.61</v>
      </c>
      <c r="AA8" s="52">
        <v>0.65</v>
      </c>
      <c r="AB8" s="39">
        <v>0.62</v>
      </c>
      <c r="AC8" s="53">
        <v>0.7</v>
      </c>
      <c r="AD8" s="53">
        <v>0.4955</v>
      </c>
      <c r="AE8" s="53">
        <v>0.93289999999999995</v>
      </c>
      <c r="AF8" s="52">
        <v>0.76</v>
      </c>
      <c r="AG8" s="52">
        <v>0.45</v>
      </c>
      <c r="AH8" s="53">
        <v>0.83620000000000005</v>
      </c>
      <c r="AI8" s="53">
        <v>0.6653</v>
      </c>
    </row>
    <row r="9" spans="1:35" x14ac:dyDescent="0.25">
      <c r="A9" s="16" t="s">
        <v>154</v>
      </c>
      <c r="B9" s="52">
        <v>-0.08</v>
      </c>
      <c r="C9" s="52">
        <v>0.12</v>
      </c>
      <c r="D9" s="53">
        <v>-9.2999999999999999E-2</v>
      </c>
      <c r="E9" s="52">
        <v>0.03</v>
      </c>
      <c r="F9" s="52">
        <v>-0.03</v>
      </c>
      <c r="G9" s="52">
        <v>7.0000000000000007E-2</v>
      </c>
      <c r="H9" s="53">
        <v>3.1099999999999999E-2</v>
      </c>
      <c r="I9" s="52">
        <v>0.13</v>
      </c>
      <c r="J9" s="52">
        <v>0</v>
      </c>
      <c r="K9" s="52">
        <v>-0.4</v>
      </c>
      <c r="L9" s="53">
        <v>-5.5500000000000001E-2</v>
      </c>
      <c r="M9" s="52">
        <v>0.06</v>
      </c>
      <c r="N9" s="53">
        <v>9.7000000000000003E-3</v>
      </c>
      <c r="O9" s="53">
        <v>-2.18E-2</v>
      </c>
      <c r="P9" s="52">
        <v>0.02</v>
      </c>
      <c r="Q9" s="53">
        <v>6.3E-2</v>
      </c>
      <c r="R9" s="52">
        <v>0.08</v>
      </c>
      <c r="S9" s="52">
        <v>0.11</v>
      </c>
      <c r="T9" s="53">
        <v>-6.7000000000000004E-2</v>
      </c>
      <c r="U9" s="52">
        <v>-0.03</v>
      </c>
      <c r="V9" s="53">
        <v>8.1787879895452678E-2</v>
      </c>
      <c r="W9" s="39">
        <v>8.2799999999999994</v>
      </c>
      <c r="X9" s="39"/>
      <c r="Y9" s="53">
        <v>0.1052</v>
      </c>
      <c r="Z9" s="52">
        <v>0.01</v>
      </c>
      <c r="AA9" s="52">
        <v>-0.14000000000000001</v>
      </c>
      <c r="AB9" s="39">
        <v>-0.04</v>
      </c>
      <c r="AC9" s="53">
        <v>5.1999999999999998E-2</v>
      </c>
      <c r="AD9" s="53">
        <v>-7.3899999999999993E-2</v>
      </c>
      <c r="AE9" s="53">
        <v>4.02E-2</v>
      </c>
      <c r="AF9" s="52">
        <v>0.08</v>
      </c>
      <c r="AG9" s="52">
        <v>-0.09</v>
      </c>
      <c r="AH9" s="53">
        <v>5.0299999999999997E-2</v>
      </c>
      <c r="AI9" s="53">
        <v>7.5200000000000003E-2</v>
      </c>
    </row>
    <row r="10" spans="1:35" ht="30" x14ac:dyDescent="0.25">
      <c r="A10" s="16" t="s">
        <v>155</v>
      </c>
      <c r="B10" s="52">
        <v>0.92</v>
      </c>
      <c r="C10" s="52">
        <v>0.76</v>
      </c>
      <c r="D10" s="53">
        <v>0.49399999999999999</v>
      </c>
      <c r="E10" s="52">
        <v>0.42</v>
      </c>
      <c r="F10" s="52">
        <v>0.28000000000000003</v>
      </c>
      <c r="G10" s="52">
        <v>0.4</v>
      </c>
      <c r="H10" s="53">
        <v>0.31730000000000003</v>
      </c>
      <c r="I10" s="52">
        <v>0.73</v>
      </c>
      <c r="J10" s="52">
        <v>0.85</v>
      </c>
      <c r="K10" s="52">
        <v>1.0900000000000001</v>
      </c>
      <c r="L10" s="53">
        <v>0.2094</v>
      </c>
      <c r="M10" s="52">
        <v>0.38</v>
      </c>
      <c r="N10" s="53">
        <v>0.43869999999999998</v>
      </c>
      <c r="O10" s="53">
        <v>0.28510000000000002</v>
      </c>
      <c r="P10" s="52">
        <v>0.24</v>
      </c>
      <c r="Q10" s="53">
        <v>0.15659999999999999</v>
      </c>
      <c r="R10" s="52">
        <v>0.47</v>
      </c>
      <c r="S10" s="52">
        <v>0.35</v>
      </c>
      <c r="T10" s="53">
        <v>0.371</v>
      </c>
      <c r="U10" s="52">
        <v>0.49</v>
      </c>
      <c r="V10" s="53">
        <v>0.26283148826202085</v>
      </c>
      <c r="W10" s="39">
        <v>21.28</v>
      </c>
      <c r="X10" s="39"/>
      <c r="Y10" s="53">
        <v>0.79239999999999999</v>
      </c>
      <c r="Z10" s="52">
        <v>0.22</v>
      </c>
      <c r="AA10" s="52">
        <v>6.03</v>
      </c>
      <c r="AB10" s="39">
        <v>0.28999999999999998</v>
      </c>
      <c r="AC10" s="53">
        <v>0.252</v>
      </c>
      <c r="AD10" s="53">
        <v>0.21890000000000001</v>
      </c>
      <c r="AE10" s="53">
        <v>0.20080000000000001</v>
      </c>
      <c r="AF10" s="52">
        <v>0.3</v>
      </c>
      <c r="AG10" s="52">
        <v>0.28000000000000003</v>
      </c>
      <c r="AH10" s="53">
        <v>0.2001</v>
      </c>
      <c r="AI10" s="53">
        <v>0.21729999999999999</v>
      </c>
    </row>
    <row r="11" spans="1:35" ht="30" x14ac:dyDescent="0.25">
      <c r="A11" s="16" t="s">
        <v>156</v>
      </c>
      <c r="B11" s="52">
        <v>1.79</v>
      </c>
      <c r="C11" s="39"/>
      <c r="D11" s="53">
        <v>2.1947000000000001</v>
      </c>
      <c r="E11" s="52">
        <v>0.54</v>
      </c>
      <c r="F11" s="52">
        <v>0.46</v>
      </c>
      <c r="G11" s="52">
        <v>0.52</v>
      </c>
      <c r="H11" s="39"/>
      <c r="I11" s="39"/>
      <c r="J11" s="52">
        <v>1.1499999999999999</v>
      </c>
      <c r="K11" s="52">
        <v>1.75</v>
      </c>
      <c r="L11" s="53">
        <v>0.31059999999999999</v>
      </c>
      <c r="M11" s="52">
        <v>0.49</v>
      </c>
      <c r="N11" s="53">
        <v>0.46500000000000002</v>
      </c>
      <c r="O11" s="53">
        <v>0.51580000000000004</v>
      </c>
      <c r="P11" s="52">
        <v>0.35</v>
      </c>
      <c r="Q11" s="53">
        <v>0.22120000000000001</v>
      </c>
      <c r="R11" s="52">
        <v>0.55000000000000004</v>
      </c>
      <c r="S11" s="52">
        <v>0.45</v>
      </c>
      <c r="T11" s="53">
        <v>0.59099999999999997</v>
      </c>
      <c r="U11" s="52">
        <v>0.64</v>
      </c>
      <c r="V11" s="53">
        <v>0.36419701271770488</v>
      </c>
      <c r="W11" s="39">
        <v>25.09</v>
      </c>
      <c r="X11" s="39"/>
      <c r="Y11" s="39"/>
      <c r="Z11" s="52">
        <v>0.36</v>
      </c>
      <c r="AA11" s="52">
        <v>9.01</v>
      </c>
      <c r="AB11" s="39">
        <v>0.46</v>
      </c>
      <c r="AC11" s="53">
        <v>0.35</v>
      </c>
      <c r="AD11" s="53">
        <v>0.44159999999999999</v>
      </c>
      <c r="AE11" s="53">
        <v>0.2147</v>
      </c>
      <c r="AF11" s="39"/>
      <c r="AG11" s="52">
        <v>0.61</v>
      </c>
      <c r="AH11" s="39"/>
      <c r="AI11" s="53">
        <v>0.32490000000000002</v>
      </c>
    </row>
    <row r="12" spans="1:35" ht="15" customHeight="1" x14ac:dyDescent="0.25">
      <c r="A12" s="16" t="s">
        <v>157</v>
      </c>
      <c r="B12" s="52">
        <v>0.87</v>
      </c>
      <c r="C12" s="39"/>
      <c r="D12" s="53">
        <v>-8.3699999999999997E-2</v>
      </c>
      <c r="E12" s="52">
        <v>0.92</v>
      </c>
      <c r="F12" s="52">
        <v>0.73</v>
      </c>
      <c r="G12" s="52">
        <v>0.78</v>
      </c>
      <c r="H12" s="39"/>
      <c r="I12" s="39"/>
      <c r="J12" s="52">
        <v>0.25</v>
      </c>
      <c r="K12" s="52">
        <v>1.1000000000000001</v>
      </c>
      <c r="L12" s="53">
        <v>0.85740000000000005</v>
      </c>
      <c r="M12" s="52">
        <v>0.63</v>
      </c>
      <c r="N12" s="53">
        <v>0.71</v>
      </c>
      <c r="O12" s="53">
        <v>0.75609999999999999</v>
      </c>
      <c r="P12" s="52">
        <v>0.75</v>
      </c>
      <c r="Q12" s="53">
        <v>0.90759999999999996</v>
      </c>
      <c r="R12" s="52">
        <v>0.7</v>
      </c>
      <c r="S12" s="52">
        <v>0.75</v>
      </c>
      <c r="T12" s="53">
        <v>0.82</v>
      </c>
      <c r="U12" s="52">
        <v>1.02</v>
      </c>
      <c r="V12" s="53">
        <v>0.83038131023782602</v>
      </c>
      <c r="W12" s="39">
        <v>92.77</v>
      </c>
      <c r="X12" s="39"/>
      <c r="Y12" s="39"/>
      <c r="Z12" s="52">
        <v>0.79</v>
      </c>
      <c r="AA12" s="52">
        <v>0.43</v>
      </c>
      <c r="AB12" s="39">
        <v>0.71</v>
      </c>
      <c r="AC12" s="53">
        <v>0.89700000000000002</v>
      </c>
      <c r="AD12" s="53">
        <v>0.79149999999999998</v>
      </c>
      <c r="AE12" s="53">
        <v>0.71630000000000005</v>
      </c>
      <c r="AF12" s="39"/>
      <c r="AG12" s="52">
        <v>0.81</v>
      </c>
      <c r="AH12" s="39"/>
      <c r="AI12" s="53">
        <v>0.80579999999999996</v>
      </c>
    </row>
    <row r="13" spans="1:35" ht="15" customHeight="1" x14ac:dyDescent="0.25">
      <c r="A13" s="16" t="s">
        <v>158</v>
      </c>
      <c r="B13" s="52">
        <v>2.66</v>
      </c>
      <c r="C13" s="52">
        <v>1.46</v>
      </c>
      <c r="D13" s="53">
        <v>1.9722999999999999</v>
      </c>
      <c r="E13" s="52">
        <v>1.35</v>
      </c>
      <c r="F13" s="52">
        <v>1.03</v>
      </c>
      <c r="G13" s="52">
        <v>1.24</v>
      </c>
      <c r="H13" s="53">
        <v>1.1371</v>
      </c>
      <c r="I13" s="52">
        <v>1.37</v>
      </c>
      <c r="J13" s="52">
        <v>1.29</v>
      </c>
      <c r="K13" s="52">
        <v>2.4</v>
      </c>
      <c r="L13" s="53">
        <v>1.1086</v>
      </c>
      <c r="M13" s="52">
        <v>1.0900000000000001</v>
      </c>
      <c r="N13" s="53">
        <v>1.1536999999999999</v>
      </c>
      <c r="O13" s="53">
        <v>1.0677000000000001</v>
      </c>
      <c r="P13" s="52">
        <v>1</v>
      </c>
      <c r="Q13" s="53">
        <v>1.0844</v>
      </c>
      <c r="R13" s="52">
        <v>1.21</v>
      </c>
      <c r="S13" s="52">
        <v>1.18</v>
      </c>
      <c r="T13" s="53">
        <v>1.242</v>
      </c>
      <c r="U13" s="52">
        <v>1.47</v>
      </c>
      <c r="V13" s="53">
        <v>1.1776299900798008</v>
      </c>
      <c r="W13" s="39">
        <v>116.28</v>
      </c>
      <c r="X13" s="39"/>
      <c r="Y13" s="53">
        <v>2.0312000000000001</v>
      </c>
      <c r="Z13" s="52">
        <v>1.06</v>
      </c>
      <c r="AA13" s="52">
        <v>9.44</v>
      </c>
      <c r="AB13" s="39">
        <v>0.99</v>
      </c>
      <c r="AC13" s="53">
        <v>1.149</v>
      </c>
      <c r="AD13" s="53">
        <v>1.0002</v>
      </c>
      <c r="AE13" s="53">
        <v>0.92569999999999997</v>
      </c>
      <c r="AF13" s="39">
        <v>1.1299999999999999</v>
      </c>
      <c r="AG13" s="52">
        <v>1.1499999999999999</v>
      </c>
      <c r="AH13" s="53">
        <v>1.3138000000000001</v>
      </c>
      <c r="AI13" s="53">
        <v>1.0844</v>
      </c>
    </row>
    <row r="14" spans="1:35" ht="15" customHeight="1" x14ac:dyDescent="0.25">
      <c r="A14" s="16" t="s">
        <v>159</v>
      </c>
      <c r="B14" s="39">
        <v>2.84</v>
      </c>
      <c r="C14" s="52">
        <v>2.46</v>
      </c>
      <c r="D14" s="39">
        <v>144.99</v>
      </c>
      <c r="E14" s="39">
        <v>3.02</v>
      </c>
      <c r="F14" s="39">
        <v>6.72</v>
      </c>
      <c r="G14" s="39">
        <v>7.64</v>
      </c>
      <c r="H14" s="39">
        <v>8.08</v>
      </c>
      <c r="I14" s="52">
        <v>2.4300000000000002</v>
      </c>
      <c r="J14" s="39">
        <v>4.08</v>
      </c>
      <c r="K14" s="39">
        <v>8.48</v>
      </c>
      <c r="L14" s="55">
        <v>37.81</v>
      </c>
      <c r="M14" s="39">
        <v>6.64</v>
      </c>
      <c r="N14" s="39">
        <v>3.07</v>
      </c>
      <c r="O14" s="39">
        <v>6.75</v>
      </c>
      <c r="P14" s="39">
        <v>9.5299999999999994</v>
      </c>
      <c r="Q14" s="39">
        <v>5.17</v>
      </c>
      <c r="R14" s="39">
        <v>4.74</v>
      </c>
      <c r="S14" s="39">
        <v>5.17</v>
      </c>
      <c r="T14" s="39">
        <v>7.45</v>
      </c>
      <c r="U14" s="39">
        <v>2.92</v>
      </c>
      <c r="V14" s="26">
        <v>8.909359559234284</v>
      </c>
      <c r="W14" s="39">
        <v>6.54</v>
      </c>
      <c r="X14" s="39"/>
      <c r="Y14" s="39">
        <v>10.8</v>
      </c>
      <c r="Z14" s="39">
        <v>6.05</v>
      </c>
      <c r="AA14" s="39">
        <v>1.41</v>
      </c>
      <c r="AB14" s="39">
        <v>2.3199999999999998</v>
      </c>
      <c r="AC14" s="39">
        <v>7.9</v>
      </c>
      <c r="AD14" s="39">
        <v>6.87</v>
      </c>
      <c r="AE14" s="53">
        <v>14.1747</v>
      </c>
      <c r="AF14" s="39">
        <v>2.88</v>
      </c>
      <c r="AG14" s="39">
        <v>6.99</v>
      </c>
      <c r="AH14" s="53">
        <v>8.3033999999999999</v>
      </c>
      <c r="AI14" s="39">
        <v>6.66</v>
      </c>
    </row>
    <row r="15" spans="1:35" x14ac:dyDescent="0.25">
      <c r="A15" s="16" t="s">
        <v>160</v>
      </c>
      <c r="B15" s="39">
        <v>-1.57</v>
      </c>
      <c r="C15" s="52">
        <v>-0.7</v>
      </c>
      <c r="D15" s="39">
        <v>0.63</v>
      </c>
      <c r="E15" s="39">
        <v>-0.43</v>
      </c>
      <c r="F15" s="39">
        <v>0</v>
      </c>
      <c r="G15" s="39">
        <v>-0.3</v>
      </c>
      <c r="H15" s="39">
        <v>-0.15</v>
      </c>
      <c r="I15" s="52">
        <v>-0.37</v>
      </c>
      <c r="J15" s="39">
        <v>-0.03</v>
      </c>
      <c r="K15" s="39">
        <v>-0.87</v>
      </c>
      <c r="L15" s="56">
        <v>0.22090000000000001</v>
      </c>
      <c r="M15" s="39">
        <v>-0.13</v>
      </c>
      <c r="N15" s="39">
        <v>-0.38</v>
      </c>
      <c r="O15" s="39">
        <v>-7.0000000000000007E-2</v>
      </c>
      <c r="P15" s="39">
        <v>-0.02</v>
      </c>
      <c r="Q15" s="53">
        <v>-0.1368</v>
      </c>
      <c r="R15" s="39">
        <v>-0.26</v>
      </c>
      <c r="S15" s="39">
        <v>-0.24</v>
      </c>
      <c r="T15" s="39">
        <v>-0.25</v>
      </c>
      <c r="U15" s="39">
        <v>-0.83</v>
      </c>
      <c r="V15" s="26">
        <v>-0.14960476625139782</v>
      </c>
      <c r="W15" s="39">
        <v>-0.2</v>
      </c>
      <c r="X15" s="39"/>
      <c r="Y15" s="39">
        <v>-0.67</v>
      </c>
      <c r="Z15" s="39">
        <v>-0.16</v>
      </c>
      <c r="AA15" s="39">
        <v>-17.489999999999998</v>
      </c>
      <c r="AB15" s="39">
        <v>-0.06</v>
      </c>
      <c r="AC15" s="39">
        <v>-0.14000000000000001</v>
      </c>
      <c r="AD15" s="39">
        <v>0</v>
      </c>
      <c r="AE15" s="53">
        <v>8.8200000000000001E-2</v>
      </c>
      <c r="AF15" s="52">
        <v>-0.16</v>
      </c>
      <c r="AG15" s="39">
        <v>-0.08</v>
      </c>
      <c r="AH15" s="53">
        <v>-0.31559999999999999</v>
      </c>
      <c r="AI15" s="39">
        <v>-0.08</v>
      </c>
    </row>
    <row r="16" spans="1:35" x14ac:dyDescent="0.25">
      <c r="A16" s="16" t="s">
        <v>161</v>
      </c>
      <c r="B16" s="52">
        <v>-1.49</v>
      </c>
      <c r="C16" s="52">
        <v>-0.63</v>
      </c>
      <c r="D16" s="53">
        <v>1.3365</v>
      </c>
      <c r="E16" s="52">
        <v>-0.34</v>
      </c>
      <c r="F16" s="52">
        <v>0.16</v>
      </c>
      <c r="G16" s="52">
        <v>-0.13</v>
      </c>
      <c r="H16" s="53">
        <v>2.76E-2</v>
      </c>
      <c r="I16" s="52">
        <v>-0.31</v>
      </c>
      <c r="J16" s="52">
        <v>0.06</v>
      </c>
      <c r="K16" s="52">
        <v>-0.79</v>
      </c>
      <c r="L16" s="53">
        <v>1.0058</v>
      </c>
      <c r="M16" s="52">
        <v>0.03</v>
      </c>
      <c r="N16" s="53">
        <v>-0.28970000000000001</v>
      </c>
      <c r="O16" s="53">
        <v>8.8900000000000007E-2</v>
      </c>
      <c r="P16" s="52">
        <v>0.17</v>
      </c>
      <c r="Q16" s="53">
        <v>-1.7299999999999999E-2</v>
      </c>
      <c r="R16" s="52">
        <v>-0.09</v>
      </c>
      <c r="S16" s="52">
        <v>-0.12</v>
      </c>
      <c r="T16" s="53">
        <v>-0.04</v>
      </c>
      <c r="U16" s="52">
        <v>-0.44</v>
      </c>
      <c r="V16" s="53">
        <v>3.4273020591985677E-2</v>
      </c>
      <c r="W16" s="39">
        <v>-2.0699999999999998</v>
      </c>
      <c r="X16" s="39"/>
      <c r="Y16" s="53">
        <v>-0.1082</v>
      </c>
      <c r="Z16" s="52">
        <v>0.05</v>
      </c>
      <c r="AA16" s="52">
        <v>-17.239999999999998</v>
      </c>
      <c r="AB16" s="39">
        <v>0.02</v>
      </c>
      <c r="AC16" s="53">
        <v>-6.0000000000000001E-3</v>
      </c>
      <c r="AD16" s="53">
        <v>0.13919999999999999</v>
      </c>
      <c r="AE16" s="53">
        <v>0.36370000000000002</v>
      </c>
      <c r="AF16" s="52">
        <v>-0.11</v>
      </c>
      <c r="AG16" s="52">
        <v>0.08</v>
      </c>
      <c r="AH16" s="53">
        <v>-0.1132</v>
      </c>
      <c r="AI16" s="53">
        <v>7.2800000000000004E-2</v>
      </c>
    </row>
    <row r="17" spans="1:35" x14ac:dyDescent="0.25">
      <c r="A17" s="16" t="s">
        <v>162</v>
      </c>
      <c r="B17" s="39">
        <v>0.51</v>
      </c>
      <c r="C17" s="52">
        <v>0.1</v>
      </c>
      <c r="D17" s="39">
        <v>2.72</v>
      </c>
      <c r="E17" s="39">
        <v>0.51</v>
      </c>
      <c r="F17" s="39">
        <v>0.13</v>
      </c>
      <c r="G17" s="39">
        <v>0.21</v>
      </c>
      <c r="H17" s="39">
        <v>0.26</v>
      </c>
      <c r="I17" s="52">
        <v>0.36</v>
      </c>
      <c r="J17" s="39">
        <v>0.67</v>
      </c>
      <c r="K17" s="39">
        <v>0.63</v>
      </c>
      <c r="L17" s="55">
        <v>0.38</v>
      </c>
      <c r="M17" s="39">
        <v>0.21</v>
      </c>
      <c r="N17" s="53">
        <v>0.28760000000000002</v>
      </c>
      <c r="O17" s="39">
        <v>0.23</v>
      </c>
      <c r="P17" s="52">
        <v>0.13</v>
      </c>
      <c r="Q17" s="39">
        <v>0.26</v>
      </c>
      <c r="R17" s="39">
        <v>0.42</v>
      </c>
      <c r="S17" s="39">
        <v>0.28000000000000003</v>
      </c>
      <c r="T17" s="39">
        <v>0.14000000000000001</v>
      </c>
      <c r="U17" s="39">
        <v>0.5</v>
      </c>
      <c r="V17" s="26">
        <v>0.14795122377367365</v>
      </c>
      <c r="W17" s="39">
        <v>0.37</v>
      </c>
      <c r="X17" s="39"/>
      <c r="Y17" s="39">
        <v>0.24</v>
      </c>
      <c r="Z17" s="39">
        <v>0.28999999999999998</v>
      </c>
      <c r="AA17" s="39">
        <v>0.49</v>
      </c>
      <c r="AB17" s="39">
        <v>0.46</v>
      </c>
      <c r="AC17" s="39">
        <v>0.32</v>
      </c>
      <c r="AD17" s="39">
        <v>0.31</v>
      </c>
      <c r="AE17" s="53">
        <v>0.30459999999999998</v>
      </c>
      <c r="AF17" s="52">
        <v>0.14000000000000001</v>
      </c>
      <c r="AG17" s="39">
        <v>0.28000000000000003</v>
      </c>
      <c r="AH17" s="53">
        <v>0.1618</v>
      </c>
      <c r="AI17" s="39">
        <v>0.33</v>
      </c>
    </row>
    <row r="18" spans="1:35" x14ac:dyDescent="0.25">
      <c r="A18" s="16" t="s">
        <v>163</v>
      </c>
      <c r="B18" s="52">
        <v>-1.4</v>
      </c>
      <c r="C18" s="52">
        <v>-0.47</v>
      </c>
      <c r="D18" s="53">
        <v>5.4889999999999999</v>
      </c>
      <c r="E18" s="53">
        <v>-0.28389999999999999</v>
      </c>
      <c r="F18" s="52">
        <v>0.12</v>
      </c>
      <c r="G18" s="52">
        <v>-0.11</v>
      </c>
      <c r="H18" s="53">
        <v>2.7199999999999998E-2</v>
      </c>
      <c r="I18" s="52">
        <v>-0.28000000000000003</v>
      </c>
      <c r="J18" s="52">
        <v>0.05</v>
      </c>
      <c r="K18" s="52">
        <v>-0.73</v>
      </c>
      <c r="L18" s="53">
        <v>1.0925</v>
      </c>
      <c r="M18" s="52">
        <v>0.03</v>
      </c>
      <c r="N18" s="53">
        <v>-0.23400000000000001</v>
      </c>
      <c r="O18" s="53">
        <v>7.6499999999999999E-2</v>
      </c>
      <c r="P18" s="52">
        <v>0.14000000000000001</v>
      </c>
      <c r="Q18" s="53">
        <v>1.2999999999999999E-2</v>
      </c>
      <c r="R18" s="52">
        <v>-0.03</v>
      </c>
      <c r="S18" s="52">
        <v>-0.17</v>
      </c>
      <c r="T18" s="53">
        <v>-3.2000000000000001E-2</v>
      </c>
      <c r="U18" s="52">
        <v>-0.39</v>
      </c>
      <c r="V18" s="53">
        <v>1.0778694446308471E-2</v>
      </c>
      <c r="W18" s="39">
        <v>4.3899999999999997</v>
      </c>
      <c r="X18" s="39"/>
      <c r="Y18" s="53">
        <v>-0.5413</v>
      </c>
      <c r="Z18" s="52">
        <v>0.05</v>
      </c>
      <c r="AA18" s="52">
        <v>-8.3000000000000007</v>
      </c>
      <c r="AB18" s="39">
        <v>0.02</v>
      </c>
      <c r="AC18" s="53">
        <v>1.4E-2</v>
      </c>
      <c r="AD18" s="53">
        <v>0.11849999999999999</v>
      </c>
      <c r="AE18" s="53">
        <v>0.29980000000000001</v>
      </c>
      <c r="AF18" s="52">
        <v>-0.08</v>
      </c>
      <c r="AG18" s="52">
        <v>0.1</v>
      </c>
      <c r="AH18" s="53">
        <v>-9.4399999999999998E-2</v>
      </c>
      <c r="AI18" s="53">
        <v>7.2499999999999995E-2</v>
      </c>
    </row>
    <row r="19" spans="1:35" x14ac:dyDescent="0.25">
      <c r="A19" s="16" t="s">
        <v>164</v>
      </c>
      <c r="B19" s="52">
        <v>-0.26</v>
      </c>
      <c r="C19" s="52">
        <v>-0.34</v>
      </c>
      <c r="D19" s="53">
        <v>3.1E-2</v>
      </c>
      <c r="E19" s="53">
        <v>-0.25440000000000002</v>
      </c>
      <c r="F19" s="52">
        <v>0.04</v>
      </c>
      <c r="G19" s="52">
        <v>-0.09</v>
      </c>
      <c r="H19" s="53">
        <v>1.5599999999999999E-2</v>
      </c>
      <c r="I19" s="52">
        <v>-0.26</v>
      </c>
      <c r="J19" s="52">
        <v>0.01</v>
      </c>
      <c r="K19" s="52">
        <v>-0.13</v>
      </c>
      <c r="L19" s="53">
        <v>4.1000000000000002E-2</v>
      </c>
      <c r="M19" s="52">
        <v>0.02</v>
      </c>
      <c r="N19" s="53">
        <v>-9.4600000000000004E-2</v>
      </c>
      <c r="O19" s="53">
        <v>3.6499999999999998E-2</v>
      </c>
      <c r="P19" s="52">
        <v>0.06</v>
      </c>
      <c r="Q19" s="53">
        <v>7.6E-3</v>
      </c>
      <c r="R19" s="52">
        <v>-0.02</v>
      </c>
      <c r="S19" s="52">
        <v>-0.39</v>
      </c>
      <c r="T19" s="53">
        <v>-1.4999999999999999E-2</v>
      </c>
      <c r="U19" s="52">
        <v>-0.41</v>
      </c>
      <c r="V19" s="53">
        <v>0.13724789102265025</v>
      </c>
      <c r="W19" s="39">
        <v>6.87</v>
      </c>
      <c r="X19" s="39"/>
      <c r="Y19" s="53">
        <v>-5.57E-2</v>
      </c>
      <c r="Z19" s="52">
        <v>0.04</v>
      </c>
      <c r="AA19" s="52">
        <v>-0.28999999999999998</v>
      </c>
      <c r="AB19" s="39">
        <v>0.02</v>
      </c>
      <c r="AC19" s="53">
        <v>6.0000000000000001E-3</v>
      </c>
      <c r="AD19" s="53">
        <v>0.04</v>
      </c>
      <c r="AE19" s="53">
        <v>8.7599999999999997E-2</v>
      </c>
      <c r="AF19" s="52">
        <v>-0.05</v>
      </c>
      <c r="AG19" s="52">
        <v>0.04</v>
      </c>
      <c r="AH19" s="53">
        <v>-0.11559999999999999</v>
      </c>
      <c r="AI19" s="53">
        <v>1.9300000000000001E-2</v>
      </c>
    </row>
    <row r="20" spans="1:35" ht="30" x14ac:dyDescent="0.25">
      <c r="A20" s="16" t="s">
        <v>165</v>
      </c>
      <c r="B20" s="39">
        <v>3.72</v>
      </c>
      <c r="C20" s="39">
        <v>1.59</v>
      </c>
      <c r="D20" s="39">
        <v>2.99</v>
      </c>
      <c r="E20" s="39">
        <v>1.51</v>
      </c>
      <c r="F20" s="52">
        <v>2.4900000000000002</v>
      </c>
      <c r="G20" s="39">
        <v>1.6</v>
      </c>
      <c r="H20" s="39">
        <v>1.54</v>
      </c>
      <c r="I20" s="52">
        <v>1.86</v>
      </c>
      <c r="J20" s="39">
        <v>2.46</v>
      </c>
      <c r="K20" s="39">
        <v>1.95</v>
      </c>
      <c r="L20" s="39">
        <v>12.24</v>
      </c>
      <c r="M20" s="39">
        <v>1.64</v>
      </c>
      <c r="N20" s="39">
        <v>2.21</v>
      </c>
      <c r="O20" s="39">
        <v>1.7</v>
      </c>
      <c r="P20" s="39">
        <v>2.2000000000000002</v>
      </c>
      <c r="Q20" s="39">
        <v>1.62</v>
      </c>
      <c r="R20" s="39">
        <v>2.38</v>
      </c>
      <c r="S20" s="39">
        <v>1.81</v>
      </c>
      <c r="T20" s="39">
        <v>1.76</v>
      </c>
      <c r="U20" s="26">
        <v>1.52</v>
      </c>
      <c r="V20" s="39"/>
      <c r="W20" s="39">
        <v>2.13</v>
      </c>
      <c r="X20" s="39"/>
      <c r="Y20" s="39">
        <v>3.6</v>
      </c>
      <c r="Z20" s="39">
        <v>1.6</v>
      </c>
      <c r="AA20" s="39">
        <v>1.06</v>
      </c>
      <c r="AB20" s="39">
        <v>1.52</v>
      </c>
      <c r="AC20" s="39">
        <v>1.91</v>
      </c>
      <c r="AD20" s="39">
        <v>2.34</v>
      </c>
      <c r="AE20" s="39">
        <v>3.11</v>
      </c>
      <c r="AF20" s="39">
        <v>1.81</v>
      </c>
      <c r="AG20" s="39">
        <v>1.7</v>
      </c>
      <c r="AH20" s="39">
        <v>1.4</v>
      </c>
      <c r="AI20" s="39">
        <v>2.2400000000000002</v>
      </c>
    </row>
    <row r="21" spans="1:35" x14ac:dyDescent="0.25">
      <c r="A21" s="16" t="s">
        <v>166</v>
      </c>
      <c r="B21" s="39"/>
      <c r="C21" s="39"/>
      <c r="D21" s="39">
        <v>0.9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53">
        <v>1.61E-2</v>
      </c>
    </row>
    <row r="22" spans="1:35" x14ac:dyDescent="0.25">
      <c r="A22" s="16" t="s">
        <v>167</v>
      </c>
      <c r="B22" s="39"/>
      <c r="C22" s="39"/>
      <c r="D22" s="39"/>
      <c r="E22" s="39">
        <v>3.71</v>
      </c>
      <c r="F22" s="39"/>
      <c r="G22" s="53">
        <v>1.6500000000000001E-2</v>
      </c>
      <c r="H22" s="39">
        <v>2.11</v>
      </c>
      <c r="I22" s="39"/>
      <c r="J22" s="39"/>
      <c r="K22" s="39"/>
      <c r="L22" s="39"/>
      <c r="M22" s="39">
        <v>1.01</v>
      </c>
      <c r="N22" s="39"/>
      <c r="O22" s="39"/>
      <c r="P22" s="39"/>
      <c r="Q22" s="39"/>
      <c r="R22" s="39"/>
      <c r="S22" s="39"/>
      <c r="T22" s="39"/>
      <c r="U22" s="53">
        <v>6.6299999999999998E-2</v>
      </c>
      <c r="V22" s="39"/>
      <c r="W22" s="39">
        <v>0.53</v>
      </c>
      <c r="X22" s="39"/>
      <c r="Y22" s="39"/>
      <c r="Z22" s="39">
        <v>0.35</v>
      </c>
      <c r="AA22" s="39"/>
      <c r="AB22" s="39"/>
      <c r="AC22" s="39"/>
      <c r="AD22" s="39"/>
      <c r="AE22" s="39"/>
      <c r="AF22" s="39">
        <v>0.01</v>
      </c>
      <c r="AG22" s="39"/>
      <c r="AH22" s="53">
        <v>1.26E-2</v>
      </c>
      <c r="AI22" s="39"/>
    </row>
    <row r="23" spans="1:35" x14ac:dyDescent="0.25">
      <c r="A23" s="16" t="s">
        <v>168</v>
      </c>
      <c r="B23" s="39"/>
      <c r="C23" s="39"/>
      <c r="D23" s="39"/>
      <c r="E23" s="39">
        <v>3.11</v>
      </c>
      <c r="F23" s="39"/>
      <c r="G23" s="53">
        <v>1.6199999999999999E-2</v>
      </c>
      <c r="H23" s="39">
        <v>1.61</v>
      </c>
      <c r="I23" s="39"/>
      <c r="J23" s="39"/>
      <c r="K23" s="39"/>
      <c r="L23" s="39"/>
      <c r="M23" s="39">
        <v>0.84</v>
      </c>
      <c r="N23" s="39"/>
      <c r="O23" s="39"/>
      <c r="P23" s="39"/>
      <c r="Q23" s="39"/>
      <c r="R23" s="39"/>
      <c r="S23" s="39"/>
      <c r="T23" s="39"/>
      <c r="U23" s="53">
        <v>5.0500000000000003E-2</v>
      </c>
      <c r="V23" s="39"/>
      <c r="W23" s="39">
        <v>0.11</v>
      </c>
      <c r="X23" s="39"/>
      <c r="Y23" s="39"/>
      <c r="Z23" s="39">
        <v>0.11</v>
      </c>
      <c r="AA23" s="39"/>
      <c r="AB23" s="39"/>
      <c r="AC23" s="39"/>
      <c r="AD23" s="39"/>
      <c r="AE23" s="39"/>
      <c r="AF23" s="39">
        <v>0</v>
      </c>
      <c r="AG23" s="39"/>
      <c r="AH23" s="53">
        <v>8.3999999999999995E-3</v>
      </c>
      <c r="AI23" s="3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8" customWidth="1"/>
    <col min="2" max="35" width="16" style="8" customWidth="1"/>
    <col min="36" max="16384" width="9.140625" style="8"/>
  </cols>
  <sheetData>
    <row r="1" spans="1:35" ht="18.75" x14ac:dyDescent="0.3">
      <c r="A1" s="10" t="s">
        <v>133</v>
      </c>
    </row>
    <row r="2" spans="1:35" x14ac:dyDescent="0.25">
      <c r="A2" s="8" t="s">
        <v>119</v>
      </c>
    </row>
    <row r="3" spans="1:35" x14ac:dyDescent="0.25">
      <c r="A3" s="1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3" t="s">
        <v>8</v>
      </c>
      <c r="J3" s="43" t="s">
        <v>9</v>
      </c>
      <c r="K3" s="43" t="s">
        <v>10</v>
      </c>
      <c r="L3" s="43" t="s">
        <v>11</v>
      </c>
      <c r="M3" s="43" t="s">
        <v>12</v>
      </c>
      <c r="N3" s="43" t="s">
        <v>13</v>
      </c>
      <c r="O3" s="43" t="s">
        <v>14</v>
      </c>
      <c r="P3" s="43" t="s">
        <v>15</v>
      </c>
      <c r="Q3" s="43" t="s">
        <v>16</v>
      </c>
      <c r="R3" s="43" t="s">
        <v>17</v>
      </c>
      <c r="S3" s="43" t="s">
        <v>18</v>
      </c>
      <c r="T3" s="43" t="s">
        <v>19</v>
      </c>
      <c r="U3" s="43" t="s">
        <v>20</v>
      </c>
      <c r="V3" s="43" t="s">
        <v>21</v>
      </c>
      <c r="W3" s="43" t="s">
        <v>22</v>
      </c>
      <c r="X3" s="43" t="s">
        <v>23</v>
      </c>
      <c r="Y3" s="43" t="s">
        <v>24</v>
      </c>
      <c r="Z3" s="43" t="s">
        <v>25</v>
      </c>
      <c r="AA3" s="43" t="s">
        <v>26</v>
      </c>
      <c r="AB3" s="43" t="s">
        <v>27</v>
      </c>
      <c r="AC3" s="43" t="s">
        <v>28</v>
      </c>
      <c r="AD3" s="43" t="s">
        <v>29</v>
      </c>
      <c r="AE3" s="43" t="s">
        <v>30</v>
      </c>
      <c r="AF3" s="43" t="s">
        <v>31</v>
      </c>
      <c r="AG3" s="43" t="s">
        <v>32</v>
      </c>
      <c r="AH3" s="44" t="s">
        <v>33</v>
      </c>
      <c r="AI3" s="43" t="s">
        <v>34</v>
      </c>
    </row>
    <row r="4" spans="1:35" ht="15" customHeight="1" x14ac:dyDescent="0.25">
      <c r="A4" s="3" t="s">
        <v>120</v>
      </c>
      <c r="B4" s="11">
        <v>14852</v>
      </c>
      <c r="C4" s="11">
        <v>50382.65</v>
      </c>
      <c r="D4" s="11">
        <v>915124</v>
      </c>
      <c r="E4" s="11">
        <v>125314</v>
      </c>
      <c r="F4" s="11">
        <v>1443388</v>
      </c>
      <c r="G4" s="11">
        <v>403599</v>
      </c>
      <c r="H4" s="11">
        <v>783950.39</v>
      </c>
      <c r="I4" s="11">
        <v>33061.46</v>
      </c>
      <c r="J4" s="11">
        <v>26052</v>
      </c>
      <c r="K4" s="11">
        <v>6065</v>
      </c>
      <c r="L4" s="11">
        <v>702171.78</v>
      </c>
      <c r="M4" s="11">
        <v>381145</v>
      </c>
      <c r="N4" s="11">
        <v>137587</v>
      </c>
      <c r="O4" s="11">
        <v>913039</v>
      </c>
      <c r="P4" s="11">
        <v>2798938</v>
      </c>
      <c r="Q4" s="11">
        <v>704546.47</v>
      </c>
      <c r="R4" s="11">
        <v>35565</v>
      </c>
      <c r="S4" s="11">
        <v>165103</v>
      </c>
      <c r="T4" s="11">
        <v>150846</v>
      </c>
      <c r="U4" s="11">
        <v>58404</v>
      </c>
      <c r="V4" s="11">
        <v>2965058.6199999996</v>
      </c>
      <c r="W4" s="11">
        <v>3651368.55</v>
      </c>
      <c r="X4" s="11"/>
      <c r="Y4" s="11">
        <v>25771</v>
      </c>
      <c r="Z4" s="11">
        <v>894170</v>
      </c>
      <c r="AA4" s="11">
        <v>483</v>
      </c>
      <c r="AB4" s="11">
        <v>117972</v>
      </c>
      <c r="AC4" s="11">
        <v>471792</v>
      </c>
      <c r="AD4" s="11">
        <v>562634</v>
      </c>
      <c r="AE4" s="11">
        <v>752331</v>
      </c>
      <c r="AF4" s="11">
        <v>261363.5</v>
      </c>
      <c r="AG4" s="11">
        <v>1064194</v>
      </c>
      <c r="AH4" s="8">
        <v>3344071.61</v>
      </c>
      <c r="AI4" s="11">
        <v>237697</v>
      </c>
    </row>
    <row r="5" spans="1:35" ht="15" customHeight="1" x14ac:dyDescent="0.25">
      <c r="A5" s="3" t="s">
        <v>121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 customHeight="1" x14ac:dyDescent="0.25">
      <c r="A6" s="3" t="s">
        <v>122</v>
      </c>
      <c r="B6" s="11"/>
      <c r="C6" s="11">
        <v>33053.22</v>
      </c>
      <c r="D6" s="11">
        <v>246844</v>
      </c>
      <c r="E6" s="11"/>
      <c r="F6" s="11">
        <v>1152788</v>
      </c>
      <c r="G6" s="11">
        <v>297455</v>
      </c>
      <c r="H6" s="11">
        <v>529210.03</v>
      </c>
      <c r="I6" s="11"/>
      <c r="J6" s="11">
        <v>12532</v>
      </c>
      <c r="K6" s="11">
        <v>9627</v>
      </c>
      <c r="L6" s="11">
        <v>659811.04</v>
      </c>
      <c r="M6" s="11"/>
      <c r="N6" s="11"/>
      <c r="O6" s="11"/>
      <c r="P6" s="11"/>
      <c r="Q6" s="11"/>
      <c r="R6" s="11"/>
      <c r="S6" s="11">
        <v>132597</v>
      </c>
      <c r="T6" s="11">
        <v>115844</v>
      </c>
      <c r="U6" s="11">
        <v>45021</v>
      </c>
      <c r="V6" s="11"/>
      <c r="W6" s="11">
        <v>3535927.35</v>
      </c>
      <c r="X6" s="11"/>
      <c r="Y6" s="11"/>
      <c r="Z6" s="11">
        <v>732549</v>
      </c>
      <c r="AA6" s="11">
        <v>324</v>
      </c>
      <c r="AB6" s="11">
        <v>83819</v>
      </c>
      <c r="AC6" s="11"/>
      <c r="AD6" s="11"/>
      <c r="AE6" s="11">
        <v>722755</v>
      </c>
      <c r="AF6" s="11"/>
      <c r="AG6" s="11">
        <v>699609</v>
      </c>
      <c r="AH6" s="8">
        <v>1944422.45</v>
      </c>
      <c r="AI6" s="11">
        <v>205892</v>
      </c>
    </row>
    <row r="7" spans="1:35" ht="15" customHeight="1" x14ac:dyDescent="0.25">
      <c r="A7" s="3" t="s">
        <v>124</v>
      </c>
      <c r="B7" s="11">
        <v>9753</v>
      </c>
      <c r="C7" s="11"/>
      <c r="D7" s="11"/>
      <c r="E7" s="11">
        <v>22464</v>
      </c>
      <c r="F7" s="11"/>
      <c r="G7" s="11"/>
      <c r="H7" s="11"/>
      <c r="I7" s="11">
        <v>29123.05</v>
      </c>
      <c r="J7" s="11"/>
      <c r="K7" s="11"/>
      <c r="L7" s="11"/>
      <c r="M7" s="11">
        <v>64358</v>
      </c>
      <c r="N7" s="11">
        <v>109618</v>
      </c>
      <c r="O7" s="11">
        <v>662874.69999999995</v>
      </c>
      <c r="P7" s="11">
        <v>2273076</v>
      </c>
      <c r="Q7" s="11">
        <v>458072.06</v>
      </c>
      <c r="R7" s="11">
        <v>33379</v>
      </c>
      <c r="S7" s="11"/>
      <c r="T7" s="11"/>
      <c r="U7" s="11"/>
      <c r="V7" s="11">
        <v>2374949.8400000003</v>
      </c>
      <c r="W7" s="11"/>
      <c r="X7" s="11"/>
      <c r="Y7" s="11">
        <v>18452</v>
      </c>
      <c r="Z7" s="11"/>
      <c r="AA7" s="11"/>
      <c r="AB7" s="11"/>
      <c r="AC7" s="11">
        <v>407137</v>
      </c>
      <c r="AD7" s="11">
        <v>533803</v>
      </c>
      <c r="AE7" s="11"/>
      <c r="AF7" s="11">
        <v>18592.43</v>
      </c>
      <c r="AH7" s="11"/>
      <c r="AI7" s="11"/>
    </row>
    <row r="8" spans="1:35" ht="15" customHeight="1" x14ac:dyDescent="0.25">
      <c r="A8" s="3" t="s">
        <v>125</v>
      </c>
      <c r="B8" s="11"/>
      <c r="C8" s="11"/>
      <c r="D8" s="11">
        <v>71904</v>
      </c>
      <c r="E8" s="11">
        <v>92358</v>
      </c>
      <c r="F8" s="11"/>
      <c r="G8" s="11"/>
      <c r="H8" s="11"/>
      <c r="I8" s="11">
        <v>2315.5300000000002</v>
      </c>
      <c r="J8" s="11"/>
      <c r="K8" s="11"/>
      <c r="L8" s="11"/>
      <c r="M8" s="11">
        <v>302668</v>
      </c>
      <c r="N8" s="11">
        <v>462</v>
      </c>
      <c r="O8" s="11"/>
      <c r="P8" s="11">
        <v>5878</v>
      </c>
      <c r="Q8" s="11">
        <v>233963.68</v>
      </c>
      <c r="R8" s="11"/>
      <c r="S8" s="11"/>
      <c r="T8" s="11"/>
      <c r="U8" s="11"/>
      <c r="V8" s="11">
        <v>495317.91</v>
      </c>
      <c r="W8" s="11"/>
      <c r="X8" s="11"/>
      <c r="Y8" s="11">
        <v>6064</v>
      </c>
      <c r="Z8" s="11"/>
      <c r="AA8" s="11"/>
      <c r="AB8" s="11"/>
      <c r="AC8" s="11"/>
      <c r="AD8" s="11"/>
      <c r="AE8" s="11"/>
      <c r="AF8" s="11">
        <v>255506.25</v>
      </c>
      <c r="AG8" s="11"/>
      <c r="AH8" s="11"/>
      <c r="AI8" s="11">
        <v>65</v>
      </c>
    </row>
    <row r="9" spans="1:35" ht="30" customHeight="1" x14ac:dyDescent="0.25">
      <c r="A9" s="3" t="s">
        <v>123</v>
      </c>
      <c r="B9" s="11">
        <v>5098.8999999999996</v>
      </c>
      <c r="C9" s="11">
        <v>17844.72</v>
      </c>
      <c r="D9" s="11">
        <v>787306</v>
      </c>
      <c r="E9" s="11">
        <v>8455</v>
      </c>
      <c r="F9" s="11">
        <v>253688</v>
      </c>
      <c r="G9" s="11">
        <v>101238</v>
      </c>
      <c r="H9" s="11">
        <v>226399.84</v>
      </c>
      <c r="I9" s="11"/>
      <c r="J9" s="11">
        <v>5636</v>
      </c>
      <c r="K9" s="11">
        <v>2244</v>
      </c>
      <c r="L9" s="11">
        <v>34461.81</v>
      </c>
      <c r="M9" s="11"/>
      <c r="N9" s="11">
        <v>51628</v>
      </c>
      <c r="O9" s="11">
        <v>250164</v>
      </c>
      <c r="P9" s="11">
        <v>537552</v>
      </c>
      <c r="Q9" s="11">
        <v>12510.73</v>
      </c>
      <c r="R9" s="11">
        <v>11</v>
      </c>
      <c r="S9" s="11">
        <v>32468</v>
      </c>
      <c r="T9" s="11">
        <v>35002</v>
      </c>
      <c r="U9" s="11">
        <v>11278</v>
      </c>
      <c r="V9" s="11"/>
      <c r="W9" s="11">
        <v>332360.56</v>
      </c>
      <c r="X9" s="11"/>
      <c r="Y9" s="11"/>
      <c r="Z9" s="11">
        <v>161621</v>
      </c>
      <c r="AA9" s="11">
        <v>159</v>
      </c>
      <c r="AB9" s="11">
        <v>9688</v>
      </c>
      <c r="AC9" s="11">
        <v>61226</v>
      </c>
      <c r="AD9" s="11"/>
      <c r="AE9" s="11">
        <v>25048</v>
      </c>
      <c r="AF9" s="11"/>
      <c r="AG9" s="11">
        <v>343614</v>
      </c>
      <c r="AH9" s="8">
        <v>1122915.6599999999</v>
      </c>
      <c r="AI9" s="11">
        <v>25113</v>
      </c>
    </row>
    <row r="10" spans="1:35" s="49" customFormat="1" ht="15" customHeight="1" x14ac:dyDescent="0.25">
      <c r="A10" s="20" t="s">
        <v>126</v>
      </c>
      <c r="B10" s="48">
        <v>-9.3140783000000005E-2</v>
      </c>
      <c r="C10" s="48">
        <v>-515.29</v>
      </c>
      <c r="D10" s="48">
        <v>-190931</v>
      </c>
      <c r="E10" s="48">
        <v>2037</v>
      </c>
      <c r="F10" s="48">
        <v>36912</v>
      </c>
      <c r="G10" s="48">
        <v>4906</v>
      </c>
      <c r="H10" s="48">
        <v>28340.52</v>
      </c>
      <c r="I10" s="48">
        <v>1622.88</v>
      </c>
      <c r="J10" s="48">
        <v>7884</v>
      </c>
      <c r="K10" s="48">
        <v>-5806</v>
      </c>
      <c r="L10" s="48">
        <v>7898.94</v>
      </c>
      <c r="M10" s="48">
        <v>14119</v>
      </c>
      <c r="N10" s="48">
        <v>-24121</v>
      </c>
      <c r="O10" s="48"/>
      <c r="P10" s="48">
        <v>-17568</v>
      </c>
      <c r="Q10" s="48"/>
      <c r="R10" s="48">
        <v>2175</v>
      </c>
      <c r="S10" s="48">
        <v>38</v>
      </c>
      <c r="T10" s="48"/>
      <c r="U10" s="48">
        <v>2105</v>
      </c>
      <c r="V10" s="48">
        <v>94790.869999999355</v>
      </c>
      <c r="W10" s="48">
        <v>-216919.36</v>
      </c>
      <c r="X10" s="48"/>
      <c r="Y10" s="48">
        <v>1255</v>
      </c>
      <c r="Z10" s="48"/>
      <c r="AA10" s="48"/>
      <c r="AB10" s="48">
        <v>24465</v>
      </c>
      <c r="AC10" s="48">
        <v>3429</v>
      </c>
      <c r="AD10" s="48">
        <v>28831</v>
      </c>
      <c r="AE10" s="48">
        <v>4528</v>
      </c>
      <c r="AF10" s="48">
        <v>-12735.18</v>
      </c>
      <c r="AG10" s="48">
        <v>20971</v>
      </c>
      <c r="AH10" s="48">
        <v>276733.5</v>
      </c>
      <c r="AI10" s="48">
        <v>6627</v>
      </c>
    </row>
    <row r="11" spans="1:35" ht="15" customHeight="1" x14ac:dyDescent="0.25">
      <c r="A11" s="3" t="s">
        <v>127</v>
      </c>
      <c r="B11" s="11">
        <v>24669.84</v>
      </c>
      <c r="C11" s="11">
        <v>17420.43</v>
      </c>
      <c r="D11" s="11">
        <v>529834</v>
      </c>
      <c r="E11" s="11">
        <v>66458</v>
      </c>
      <c r="F11" s="11">
        <v>554521</v>
      </c>
      <c r="G11" s="11">
        <v>64571</v>
      </c>
      <c r="H11" s="11">
        <v>134551.03</v>
      </c>
      <c r="I11" s="11">
        <v>23498.639999999999</v>
      </c>
      <c r="J11" s="11">
        <v>4776</v>
      </c>
      <c r="K11" s="11">
        <v>17059</v>
      </c>
      <c r="L11" s="11">
        <v>466451.29</v>
      </c>
      <c r="M11" s="11">
        <v>70497</v>
      </c>
      <c r="N11" s="11">
        <v>82423</v>
      </c>
      <c r="O11" s="11">
        <v>286878.90000000002</v>
      </c>
      <c r="P11" s="11">
        <v>571935</v>
      </c>
      <c r="Q11" s="11">
        <v>329036.68</v>
      </c>
      <c r="R11" s="11">
        <v>18209</v>
      </c>
      <c r="S11" s="11">
        <v>54106</v>
      </c>
      <c r="T11" s="11">
        <v>36636</v>
      </c>
      <c r="U11" s="11">
        <v>48257</v>
      </c>
      <c r="V11" s="11">
        <v>248615.92999999996</v>
      </c>
      <c r="W11" s="11">
        <v>1872457.61</v>
      </c>
      <c r="X11" s="11"/>
      <c r="Y11" s="11">
        <v>18037</v>
      </c>
      <c r="Z11" s="11">
        <v>233022</v>
      </c>
      <c r="AA11" s="11">
        <v>6155</v>
      </c>
      <c r="AB11" s="11">
        <v>43686</v>
      </c>
      <c r="AC11" s="11">
        <v>116158</v>
      </c>
      <c r="AD11" s="11">
        <v>172192</v>
      </c>
      <c r="AE11" s="11">
        <v>172305</v>
      </c>
      <c r="AF11" s="11">
        <v>179942.74</v>
      </c>
      <c r="AG11" s="11">
        <v>288576</v>
      </c>
      <c r="AH11" s="8">
        <v>386485.74</v>
      </c>
      <c r="AI11" s="11">
        <v>89346</v>
      </c>
    </row>
    <row r="12" spans="1:35" x14ac:dyDescent="0.25">
      <c r="A12" s="3" t="s">
        <v>121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v>73278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30" customHeight="1" x14ac:dyDescent="0.25">
      <c r="A13" s="3" t="s">
        <v>128</v>
      </c>
      <c r="B13" s="11">
        <v>6064.15</v>
      </c>
      <c r="C13" s="11"/>
      <c r="D13" s="11">
        <v>1658</v>
      </c>
      <c r="E13" s="11">
        <v>12830</v>
      </c>
      <c r="F13" s="11">
        <v>103487</v>
      </c>
      <c r="G13" s="11">
        <v>3995</v>
      </c>
      <c r="H13" s="11">
        <v>27845.17</v>
      </c>
      <c r="I13" s="11">
        <v>8028.3</v>
      </c>
      <c r="J13" s="11">
        <v>373</v>
      </c>
      <c r="K13" s="11">
        <v>1482</v>
      </c>
      <c r="L13" s="11">
        <v>23948.03</v>
      </c>
      <c r="M13" s="11">
        <v>17978</v>
      </c>
      <c r="N13" s="11"/>
      <c r="O13" s="11">
        <v>64355.9</v>
      </c>
      <c r="P13" s="11">
        <v>25787</v>
      </c>
      <c r="Q13" s="11">
        <v>118559.29</v>
      </c>
      <c r="R13" s="11">
        <v>6399</v>
      </c>
      <c r="S13" s="11">
        <v>12652</v>
      </c>
      <c r="T13" s="11">
        <v>6567</v>
      </c>
      <c r="U13" s="11">
        <v>26429</v>
      </c>
      <c r="V13" s="11"/>
      <c r="W13" s="11">
        <v>287500.33</v>
      </c>
      <c r="X13" s="11"/>
      <c r="Y13" s="11">
        <v>1281</v>
      </c>
      <c r="Z13" s="11">
        <v>59355</v>
      </c>
      <c r="AA13" s="11">
        <v>870</v>
      </c>
      <c r="AB13" s="11">
        <v>20535</v>
      </c>
      <c r="AC13" s="11"/>
      <c r="AD13" s="11">
        <v>20800</v>
      </c>
      <c r="AE13" s="11">
        <v>14212</v>
      </c>
      <c r="AF13" s="11">
        <v>12803.09</v>
      </c>
      <c r="AG13" s="11">
        <v>72366</v>
      </c>
      <c r="AH13" s="8">
        <v>49214.33</v>
      </c>
      <c r="AI13" s="11">
        <v>6518</v>
      </c>
    </row>
    <row r="14" spans="1:35" s="49" customFormat="1" x14ac:dyDescent="0.25">
      <c r="A14" s="20" t="s">
        <v>129</v>
      </c>
      <c r="B14" s="48">
        <v>18605.689999999999</v>
      </c>
      <c r="C14" s="48">
        <v>17420.43</v>
      </c>
      <c r="D14" s="48">
        <v>528176</v>
      </c>
      <c r="E14" s="48">
        <v>53628</v>
      </c>
      <c r="F14" s="48">
        <v>451034</v>
      </c>
      <c r="G14" s="48">
        <v>60576</v>
      </c>
      <c r="H14" s="48">
        <v>106705.87</v>
      </c>
      <c r="I14" s="48">
        <v>15470.34</v>
      </c>
      <c r="J14" s="48">
        <v>4403</v>
      </c>
      <c r="K14" s="48">
        <v>15577</v>
      </c>
      <c r="L14" s="48">
        <v>442503.26</v>
      </c>
      <c r="M14" s="48">
        <v>52519</v>
      </c>
      <c r="N14" s="48">
        <v>82423</v>
      </c>
      <c r="O14" s="48">
        <v>222523</v>
      </c>
      <c r="P14" s="48">
        <v>546148</v>
      </c>
      <c r="Q14" s="48">
        <v>210477.39</v>
      </c>
      <c r="R14" s="48">
        <v>11810</v>
      </c>
      <c r="S14" s="48">
        <v>41454</v>
      </c>
      <c r="T14" s="48">
        <v>30069</v>
      </c>
      <c r="U14" s="48">
        <v>21828</v>
      </c>
      <c r="V14" s="48">
        <v>248615.92999999996</v>
      </c>
      <c r="W14" s="48">
        <v>1584957.27</v>
      </c>
      <c r="X14" s="48"/>
      <c r="Y14" s="48">
        <v>16756</v>
      </c>
      <c r="Z14" s="48">
        <v>173666</v>
      </c>
      <c r="AA14" s="48">
        <v>5285</v>
      </c>
      <c r="AB14" s="48">
        <v>23150</v>
      </c>
      <c r="AC14" s="48">
        <v>116158</v>
      </c>
      <c r="AD14" s="48">
        <v>151392</v>
      </c>
      <c r="AE14" s="48">
        <v>158093</v>
      </c>
      <c r="AF14" s="48">
        <v>167139.65</v>
      </c>
      <c r="AG14" s="48">
        <v>216210</v>
      </c>
      <c r="AH14" s="48">
        <v>337271.41</v>
      </c>
      <c r="AI14" s="48">
        <v>82828</v>
      </c>
    </row>
    <row r="15" spans="1:35" s="9" customFormat="1" ht="15" customHeight="1" x14ac:dyDescent="0.25">
      <c r="A15" s="4" t="s">
        <v>130</v>
      </c>
      <c r="B15" s="12">
        <v>18605.596860000001</v>
      </c>
      <c r="C15" s="12">
        <v>16905.14</v>
      </c>
      <c r="D15" s="12">
        <v>337246</v>
      </c>
      <c r="E15" s="12">
        <v>55665</v>
      </c>
      <c r="F15" s="12">
        <v>487945</v>
      </c>
      <c r="G15" s="12">
        <v>65482</v>
      </c>
      <c r="H15" s="12">
        <v>135046.39000000001</v>
      </c>
      <c r="I15" s="12">
        <v>17093.22</v>
      </c>
      <c r="J15" s="12">
        <v>12287</v>
      </c>
      <c r="K15" s="12">
        <v>9771</v>
      </c>
      <c r="L15" s="12">
        <v>450402.2</v>
      </c>
      <c r="M15" s="12">
        <v>66638</v>
      </c>
      <c r="N15" s="12">
        <v>58303</v>
      </c>
      <c r="O15" s="12">
        <v>222523.2</v>
      </c>
      <c r="P15" s="12">
        <v>528580</v>
      </c>
      <c r="Q15" s="12">
        <v>210477.39</v>
      </c>
      <c r="R15" s="12">
        <v>13985</v>
      </c>
      <c r="S15" s="12">
        <v>41492</v>
      </c>
      <c r="T15" s="12">
        <v>30069</v>
      </c>
      <c r="U15" s="12">
        <v>23933</v>
      </c>
      <c r="V15" s="12">
        <v>343406.79999999935</v>
      </c>
      <c r="W15" s="12">
        <v>1368037.92</v>
      </c>
      <c r="X15" s="12"/>
      <c r="Y15" s="12">
        <v>18012</v>
      </c>
      <c r="Z15" s="12">
        <v>173666</v>
      </c>
      <c r="AA15" s="12">
        <v>5285</v>
      </c>
      <c r="AB15" s="12">
        <v>47615</v>
      </c>
      <c r="AC15" s="12">
        <v>119588</v>
      </c>
      <c r="AD15" s="12">
        <v>180223</v>
      </c>
      <c r="AE15" s="12">
        <v>162621</v>
      </c>
      <c r="AF15" s="12">
        <v>154404.47</v>
      </c>
      <c r="AG15" s="12">
        <v>237182</v>
      </c>
      <c r="AH15" s="12">
        <v>614004.91</v>
      </c>
      <c r="AI15" s="12">
        <v>89455</v>
      </c>
    </row>
    <row r="16" spans="1:35" s="9" customFormat="1" ht="14.25" customHeight="1" x14ac:dyDescent="0.25">
      <c r="A16" s="4" t="s">
        <v>131</v>
      </c>
      <c r="B16" s="12">
        <v>5000</v>
      </c>
      <c r="C16" s="12">
        <v>10644.7</v>
      </c>
      <c r="D16" s="12">
        <v>112774</v>
      </c>
      <c r="E16" s="12">
        <v>36943</v>
      </c>
      <c r="F16" s="12">
        <v>195946</v>
      </c>
      <c r="G16" s="12">
        <v>40936</v>
      </c>
      <c r="H16" s="12">
        <v>87974.2</v>
      </c>
      <c r="I16" s="12">
        <v>9208.41</v>
      </c>
      <c r="J16" s="12">
        <v>5000</v>
      </c>
      <c r="K16" s="12">
        <v>5000</v>
      </c>
      <c r="L16" s="12">
        <v>36801.19</v>
      </c>
      <c r="M16" s="12">
        <v>40543</v>
      </c>
      <c r="N16" s="12">
        <v>26411</v>
      </c>
      <c r="O16" s="12">
        <v>130888.4</v>
      </c>
      <c r="P16" s="12">
        <v>240292</v>
      </c>
      <c r="Q16" s="12">
        <v>129906.73</v>
      </c>
      <c r="R16" s="12">
        <v>5865</v>
      </c>
      <c r="S16" s="12">
        <v>22927</v>
      </c>
      <c r="T16" s="12">
        <v>17107</v>
      </c>
      <c r="U16" s="12">
        <v>15707</v>
      </c>
      <c r="V16" s="12">
        <v>363268</v>
      </c>
      <c r="W16" s="12">
        <v>643124.11</v>
      </c>
      <c r="X16" s="12"/>
      <c r="Y16" s="12">
        <v>5000</v>
      </c>
      <c r="Z16" s="12">
        <v>108799</v>
      </c>
      <c r="AA16" s="12">
        <v>5000</v>
      </c>
      <c r="AB16" s="12">
        <v>31256</v>
      </c>
      <c r="AC16" s="12">
        <v>62581</v>
      </c>
      <c r="AD16" s="12">
        <v>76985</v>
      </c>
      <c r="AE16" s="12">
        <v>52300</v>
      </c>
      <c r="AF16" s="12">
        <v>85462.6</v>
      </c>
      <c r="AG16" s="12">
        <v>139493</v>
      </c>
      <c r="AH16" s="12">
        <v>437862.37</v>
      </c>
      <c r="AI16" s="12">
        <v>39896</v>
      </c>
    </row>
    <row r="17" spans="1:35" s="47" customFormat="1" ht="14.25" customHeight="1" x14ac:dyDescent="0.25">
      <c r="A17" s="21" t="s">
        <v>132</v>
      </c>
      <c r="B17" s="46">
        <v>3.72</v>
      </c>
      <c r="C17" s="46">
        <v>1.59</v>
      </c>
      <c r="D17" s="46">
        <v>2.99</v>
      </c>
      <c r="E17" s="46">
        <v>1.51</v>
      </c>
      <c r="F17" s="46">
        <v>2.4900000000000002</v>
      </c>
      <c r="G17" s="46">
        <v>1.6</v>
      </c>
      <c r="H17" s="46">
        <v>1.5349999999999999</v>
      </c>
      <c r="I17" s="46">
        <v>1.8563000000000001</v>
      </c>
      <c r="J17" s="46">
        <v>2.46</v>
      </c>
      <c r="K17" s="46">
        <v>1.95</v>
      </c>
      <c r="L17" s="46">
        <v>12.24</v>
      </c>
      <c r="M17" s="46">
        <v>1.64</v>
      </c>
      <c r="N17" s="46">
        <v>2.21</v>
      </c>
      <c r="O17" s="46">
        <v>1.7</v>
      </c>
      <c r="P17" s="46">
        <v>2.2000000000000002</v>
      </c>
      <c r="Q17" s="46">
        <v>1.62</v>
      </c>
      <c r="R17" s="46">
        <v>2.38</v>
      </c>
      <c r="S17" s="46">
        <v>1.81</v>
      </c>
      <c r="T17" s="46">
        <v>1.76</v>
      </c>
      <c r="U17" s="46">
        <v>1.52</v>
      </c>
      <c r="V17" s="46">
        <v>0.94532631555765811</v>
      </c>
      <c r="W17" s="46">
        <v>2.13</v>
      </c>
      <c r="X17" s="46"/>
      <c r="Y17" s="46">
        <v>3.6</v>
      </c>
      <c r="Z17" s="46">
        <v>1.6</v>
      </c>
      <c r="AA17" s="46">
        <v>1.06</v>
      </c>
      <c r="AB17" s="46">
        <v>1.52</v>
      </c>
      <c r="AC17" s="46">
        <v>1.91</v>
      </c>
      <c r="AD17" s="46">
        <v>2.34</v>
      </c>
      <c r="AE17" s="46">
        <v>3.11</v>
      </c>
      <c r="AF17" s="46">
        <v>1.81</v>
      </c>
      <c r="AG17" s="46">
        <v>1.7</v>
      </c>
      <c r="AH17" s="46">
        <v>1.4</v>
      </c>
      <c r="AI17" s="46">
        <v>2.2400000000000002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71" width="16" style="8" customWidth="1"/>
    <col min="72" max="16384" width="9.140625" style="8"/>
  </cols>
  <sheetData>
    <row r="1" spans="1:71" ht="18.75" x14ac:dyDescent="0.3">
      <c r="A1" s="18" t="s">
        <v>134</v>
      </c>
    </row>
    <row r="2" spans="1:71" x14ac:dyDescent="0.25">
      <c r="A2" s="8" t="s">
        <v>135</v>
      </c>
    </row>
    <row r="3" spans="1:71" x14ac:dyDescent="0.25">
      <c r="A3" s="1" t="s">
        <v>0</v>
      </c>
      <c r="B3" s="90" t="s">
        <v>1</v>
      </c>
      <c r="C3" s="90"/>
      <c r="D3" s="90" t="s">
        <v>2</v>
      </c>
      <c r="E3" s="90"/>
      <c r="F3" s="90" t="s">
        <v>3</v>
      </c>
      <c r="G3" s="90"/>
      <c r="H3" s="90" t="s">
        <v>4</v>
      </c>
      <c r="I3" s="90"/>
      <c r="J3" s="90" t="s">
        <v>5</v>
      </c>
      <c r="K3" s="90"/>
      <c r="L3" s="90" t="s">
        <v>6</v>
      </c>
      <c r="M3" s="90"/>
      <c r="N3" s="90" t="s">
        <v>7</v>
      </c>
      <c r="O3" s="90"/>
      <c r="P3" s="90" t="s">
        <v>8</v>
      </c>
      <c r="Q3" s="90"/>
      <c r="R3" s="90" t="s">
        <v>9</v>
      </c>
      <c r="S3" s="90"/>
      <c r="T3" s="90" t="s">
        <v>10</v>
      </c>
      <c r="U3" s="90"/>
      <c r="V3" s="90" t="s">
        <v>11</v>
      </c>
      <c r="W3" s="90"/>
      <c r="X3" s="90" t="s">
        <v>12</v>
      </c>
      <c r="Y3" s="90"/>
      <c r="Z3" s="90" t="s">
        <v>13</v>
      </c>
      <c r="AA3" s="90"/>
      <c r="AB3" s="90" t="s">
        <v>14</v>
      </c>
      <c r="AC3" s="90"/>
      <c r="AD3" s="90" t="s">
        <v>15</v>
      </c>
      <c r="AE3" s="90"/>
      <c r="AF3" s="90" t="s">
        <v>16</v>
      </c>
      <c r="AG3" s="90"/>
      <c r="AH3" s="90" t="s">
        <v>17</v>
      </c>
      <c r="AI3" s="90"/>
      <c r="AJ3" s="90" t="s">
        <v>18</v>
      </c>
      <c r="AK3" s="90"/>
      <c r="AL3" s="90" t="s">
        <v>19</v>
      </c>
      <c r="AM3" s="90"/>
      <c r="AN3" s="90" t="s">
        <v>20</v>
      </c>
      <c r="AO3" s="90"/>
      <c r="AP3" s="90" t="s">
        <v>21</v>
      </c>
      <c r="AQ3" s="90"/>
      <c r="AR3" s="90" t="s">
        <v>22</v>
      </c>
      <c r="AS3" s="90"/>
      <c r="AT3" s="90" t="s">
        <v>23</v>
      </c>
      <c r="AU3" s="90"/>
      <c r="AV3" s="90" t="s">
        <v>24</v>
      </c>
      <c r="AW3" s="90"/>
      <c r="AX3" s="90" t="s">
        <v>25</v>
      </c>
      <c r="AY3" s="90"/>
      <c r="AZ3" s="90" t="s">
        <v>26</v>
      </c>
      <c r="BA3" s="90"/>
      <c r="BB3" s="90" t="s">
        <v>27</v>
      </c>
      <c r="BC3" s="90"/>
      <c r="BD3" s="90" t="s">
        <v>28</v>
      </c>
      <c r="BE3" s="90"/>
      <c r="BF3" s="90" t="s">
        <v>29</v>
      </c>
      <c r="BG3" s="90"/>
      <c r="BH3" s="90" t="s">
        <v>30</v>
      </c>
      <c r="BI3" s="90"/>
      <c r="BJ3" s="90" t="s">
        <v>31</v>
      </c>
      <c r="BK3" s="90"/>
      <c r="BL3" s="90" t="s">
        <v>32</v>
      </c>
      <c r="BM3" s="90"/>
      <c r="BN3" s="83" t="s">
        <v>33</v>
      </c>
      <c r="BO3" s="83"/>
      <c r="BP3" s="90" t="s">
        <v>34</v>
      </c>
      <c r="BQ3" s="90"/>
      <c r="BR3" s="90" t="s">
        <v>35</v>
      </c>
      <c r="BS3" s="90"/>
    </row>
    <row r="4" spans="1:71" x14ac:dyDescent="0.25">
      <c r="A4" s="1"/>
      <c r="B4" s="23" t="s">
        <v>145</v>
      </c>
      <c r="C4" s="23" t="s">
        <v>146</v>
      </c>
      <c r="D4" s="23" t="s">
        <v>145</v>
      </c>
      <c r="E4" s="23" t="s">
        <v>146</v>
      </c>
      <c r="F4" s="23" t="s">
        <v>145</v>
      </c>
      <c r="G4" s="23" t="s">
        <v>146</v>
      </c>
      <c r="H4" s="23" t="s">
        <v>145</v>
      </c>
      <c r="I4" s="23" t="s">
        <v>146</v>
      </c>
      <c r="J4" s="23" t="s">
        <v>145</v>
      </c>
      <c r="K4" s="23" t="s">
        <v>146</v>
      </c>
      <c r="L4" s="23" t="s">
        <v>145</v>
      </c>
      <c r="M4" s="23" t="s">
        <v>146</v>
      </c>
      <c r="N4" s="23" t="s">
        <v>145</v>
      </c>
      <c r="O4" s="23" t="s">
        <v>146</v>
      </c>
      <c r="P4" s="23" t="s">
        <v>145</v>
      </c>
      <c r="Q4" s="23" t="s">
        <v>146</v>
      </c>
      <c r="R4" s="23" t="s">
        <v>145</v>
      </c>
      <c r="S4" s="23" t="s">
        <v>146</v>
      </c>
      <c r="T4" s="23" t="s">
        <v>145</v>
      </c>
      <c r="U4" s="23" t="s">
        <v>146</v>
      </c>
      <c r="V4" s="23" t="s">
        <v>145</v>
      </c>
      <c r="W4" s="23" t="s">
        <v>146</v>
      </c>
      <c r="X4" s="23" t="s">
        <v>145</v>
      </c>
      <c r="Y4" s="23" t="s">
        <v>146</v>
      </c>
      <c r="Z4" s="23" t="s">
        <v>145</v>
      </c>
      <c r="AA4" s="23" t="s">
        <v>146</v>
      </c>
      <c r="AB4" s="23" t="s">
        <v>145</v>
      </c>
      <c r="AC4" s="23" t="s">
        <v>146</v>
      </c>
      <c r="AD4" s="23" t="s">
        <v>145</v>
      </c>
      <c r="AE4" s="23" t="s">
        <v>146</v>
      </c>
      <c r="AF4" s="23" t="s">
        <v>145</v>
      </c>
      <c r="AG4" s="23" t="s">
        <v>146</v>
      </c>
      <c r="AH4" s="23" t="s">
        <v>145</v>
      </c>
      <c r="AI4" s="23" t="s">
        <v>146</v>
      </c>
      <c r="AJ4" s="23" t="s">
        <v>145</v>
      </c>
      <c r="AK4" s="23" t="s">
        <v>146</v>
      </c>
      <c r="AL4" s="23" t="s">
        <v>145</v>
      </c>
      <c r="AM4" s="23" t="s">
        <v>146</v>
      </c>
      <c r="AN4" s="23" t="s">
        <v>145</v>
      </c>
      <c r="AO4" s="23" t="s">
        <v>146</v>
      </c>
      <c r="AP4" s="23" t="s">
        <v>145</v>
      </c>
      <c r="AQ4" s="23" t="s">
        <v>146</v>
      </c>
      <c r="AR4" s="23" t="s">
        <v>145</v>
      </c>
      <c r="AS4" s="23" t="s">
        <v>146</v>
      </c>
      <c r="AT4" s="23" t="s">
        <v>145</v>
      </c>
      <c r="AU4" s="23" t="s">
        <v>146</v>
      </c>
      <c r="AV4" s="23" t="s">
        <v>145</v>
      </c>
      <c r="AW4" s="23" t="s">
        <v>146</v>
      </c>
      <c r="AX4" s="23" t="s">
        <v>145</v>
      </c>
      <c r="AY4" s="23" t="s">
        <v>146</v>
      </c>
      <c r="AZ4" s="23" t="s">
        <v>145</v>
      </c>
      <c r="BA4" s="23" t="s">
        <v>146</v>
      </c>
      <c r="BB4" s="23" t="s">
        <v>145</v>
      </c>
      <c r="BC4" s="23" t="s">
        <v>146</v>
      </c>
      <c r="BD4" s="23" t="s">
        <v>145</v>
      </c>
      <c r="BE4" s="23" t="s">
        <v>146</v>
      </c>
      <c r="BF4" s="23" t="s">
        <v>145</v>
      </c>
      <c r="BG4" s="23" t="s">
        <v>146</v>
      </c>
      <c r="BH4" s="23" t="s">
        <v>145</v>
      </c>
      <c r="BI4" s="23" t="s">
        <v>146</v>
      </c>
      <c r="BJ4" s="23" t="s">
        <v>145</v>
      </c>
      <c r="BK4" s="23" t="s">
        <v>146</v>
      </c>
      <c r="BL4" s="23" t="s">
        <v>145</v>
      </c>
      <c r="BM4" s="23" t="s">
        <v>146</v>
      </c>
      <c r="BN4" s="23" t="s">
        <v>145</v>
      </c>
      <c r="BO4" s="23" t="s">
        <v>146</v>
      </c>
      <c r="BP4" s="23" t="s">
        <v>145</v>
      </c>
      <c r="BQ4" s="23" t="s">
        <v>146</v>
      </c>
      <c r="BR4" s="23" t="s">
        <v>145</v>
      </c>
      <c r="BS4" s="23" t="s">
        <v>146</v>
      </c>
    </row>
    <row r="5" spans="1:71" x14ac:dyDescent="0.25">
      <c r="A5" s="11" t="s">
        <v>136</v>
      </c>
      <c r="B5" s="11"/>
      <c r="C5" s="11"/>
      <c r="D5" s="11">
        <v>17077</v>
      </c>
      <c r="E5" s="11">
        <v>1997</v>
      </c>
      <c r="F5" s="11"/>
      <c r="G5" s="11"/>
      <c r="H5" s="11">
        <v>171806</v>
      </c>
      <c r="I5" s="11">
        <v>23368</v>
      </c>
      <c r="J5" s="11">
        <v>757837</v>
      </c>
      <c r="K5" s="11">
        <v>57433</v>
      </c>
      <c r="L5" s="11">
        <v>94675</v>
      </c>
      <c r="M5" s="11">
        <v>7356</v>
      </c>
      <c r="N5" s="11">
        <v>8418</v>
      </c>
      <c r="O5" s="11">
        <v>1272</v>
      </c>
      <c r="P5" s="11">
        <v>21091</v>
      </c>
      <c r="Q5" s="11">
        <v>3195</v>
      </c>
      <c r="R5" s="11">
        <v>7734</v>
      </c>
      <c r="S5" s="11">
        <v>148</v>
      </c>
      <c r="T5" s="11">
        <v>820</v>
      </c>
      <c r="U5" s="11">
        <v>93.07</v>
      </c>
      <c r="V5" s="11"/>
      <c r="W5" s="11"/>
      <c r="X5" s="11">
        <v>119020</v>
      </c>
      <c r="Y5" s="11">
        <v>14661.45</v>
      </c>
      <c r="Z5" s="11">
        <v>8376</v>
      </c>
      <c r="AA5" s="11">
        <v>177652</v>
      </c>
      <c r="AB5" s="11">
        <v>156444</v>
      </c>
      <c r="AC5" s="11">
        <v>18629.7</v>
      </c>
      <c r="AD5" s="11">
        <v>270208</v>
      </c>
      <c r="AE5" s="11">
        <v>35734</v>
      </c>
      <c r="AF5" s="11">
        <v>1041909</v>
      </c>
      <c r="AG5" s="11">
        <v>45491.58</v>
      </c>
      <c r="AH5" s="11">
        <v>2397</v>
      </c>
      <c r="AI5" s="11">
        <v>386</v>
      </c>
      <c r="AJ5" s="11">
        <v>36462</v>
      </c>
      <c r="AK5" s="11">
        <v>3012</v>
      </c>
      <c r="AL5" s="11">
        <v>34552</v>
      </c>
      <c r="AM5" s="11">
        <v>2709</v>
      </c>
      <c r="AN5" s="11">
        <v>47396</v>
      </c>
      <c r="AO5" s="11">
        <v>9722</v>
      </c>
      <c r="AP5" s="11">
        <v>2089815</v>
      </c>
      <c r="AQ5" s="11">
        <v>147690.14000000001</v>
      </c>
      <c r="AR5" s="11">
        <v>3181420</v>
      </c>
      <c r="AS5" s="11">
        <v>235049</v>
      </c>
      <c r="AT5" s="11">
        <v>1624148</v>
      </c>
      <c r="AU5" s="11">
        <v>130057</v>
      </c>
      <c r="AV5" s="11">
        <v>385</v>
      </c>
      <c r="AW5" s="11">
        <v>86.607992199999998</v>
      </c>
      <c r="AX5" s="11">
        <v>464342</v>
      </c>
      <c r="AY5" s="11">
        <v>35331</v>
      </c>
      <c r="AZ5" s="11">
        <v>370</v>
      </c>
      <c r="BA5" s="11">
        <v>57</v>
      </c>
      <c r="BB5" s="11">
        <v>91257</v>
      </c>
      <c r="BC5" s="11">
        <v>12989.4</v>
      </c>
      <c r="BD5" s="11">
        <v>80964</v>
      </c>
      <c r="BE5" s="11">
        <v>11686</v>
      </c>
      <c r="BF5" s="11">
        <v>36320</v>
      </c>
      <c r="BG5" s="11">
        <v>5057</v>
      </c>
      <c r="BH5" s="11">
        <v>360705</v>
      </c>
      <c r="BI5" s="11">
        <v>20747.509999999998</v>
      </c>
      <c r="BJ5" s="11">
        <v>740623</v>
      </c>
      <c r="BK5" s="11">
        <v>87551</v>
      </c>
      <c r="BL5" s="11">
        <v>298569</v>
      </c>
      <c r="BM5" s="11">
        <v>40455</v>
      </c>
      <c r="BN5" s="39">
        <v>3420490</v>
      </c>
      <c r="BO5" s="39">
        <v>198446</v>
      </c>
      <c r="BP5" s="11">
        <v>16769</v>
      </c>
      <c r="BQ5" s="11">
        <v>2420</v>
      </c>
      <c r="BR5" s="12">
        <f>B5+D5+F5+H5+J5+L5+N5+P5+R5+T5+V5+X5+Z5+AB5+AD5+AF5+AH5+AJ5+AL5+AN5+AP5+AR5+AT5+AV5+AX5+AZ5+BB5+BD5+BF5+BH5+BJ5+BL5+BN5+BP5</f>
        <v>15202399</v>
      </c>
      <c r="BS5" s="12">
        <f>C5+E5+G5+I5+K5+M5+O5+Q5+S5+U5+W5+Y5+AA5+AC5+AE5+AG5+AI5+AK5+AM5+AO5+AQ5+AS5+AU5+AW5+AY5+BA5+BC5+BE5+BG5+BI5+BK5+BM5+BO5+BQ5</f>
        <v>1330482.4579922</v>
      </c>
    </row>
    <row r="6" spans="1:71" x14ac:dyDescent="0.25">
      <c r="A6" s="11" t="s">
        <v>137</v>
      </c>
      <c r="B6" s="11">
        <v>356</v>
      </c>
      <c r="C6" s="11">
        <v>26</v>
      </c>
      <c r="D6" s="11">
        <v>38058</v>
      </c>
      <c r="E6" s="11">
        <v>3447</v>
      </c>
      <c r="F6" s="11"/>
      <c r="G6" s="11"/>
      <c r="H6" s="11">
        <v>18931</v>
      </c>
      <c r="I6" s="11">
        <v>7393</v>
      </c>
      <c r="J6" s="11">
        <v>1750218</v>
      </c>
      <c r="K6" s="11">
        <v>35785</v>
      </c>
      <c r="L6" s="11">
        <v>48470</v>
      </c>
      <c r="M6" s="11">
        <v>2796</v>
      </c>
      <c r="N6" s="11">
        <v>268379</v>
      </c>
      <c r="O6" s="11">
        <v>30239</v>
      </c>
      <c r="P6" s="11">
        <v>2613</v>
      </c>
      <c r="Q6" s="11">
        <v>2027</v>
      </c>
      <c r="R6" s="11">
        <v>3</v>
      </c>
      <c r="S6" s="11"/>
      <c r="T6" s="11"/>
      <c r="U6" s="11"/>
      <c r="V6" s="11"/>
      <c r="W6" s="11">
        <v>1.35</v>
      </c>
      <c r="X6" s="11">
        <v>152117</v>
      </c>
      <c r="Y6" s="11">
        <v>2453.61</v>
      </c>
      <c r="Z6" s="11"/>
      <c r="AA6" s="11"/>
      <c r="AB6" s="11">
        <v>627861</v>
      </c>
      <c r="AC6" s="11">
        <v>33301.9</v>
      </c>
      <c r="AD6" s="11">
        <v>117644</v>
      </c>
      <c r="AE6" s="11">
        <v>29779</v>
      </c>
      <c r="AF6" s="11">
        <v>43746</v>
      </c>
      <c r="AG6" s="11">
        <v>1356.02</v>
      </c>
      <c r="AH6" s="11">
        <v>33481</v>
      </c>
      <c r="AI6" s="11">
        <v>2507</v>
      </c>
      <c r="AJ6" s="11">
        <v>21080</v>
      </c>
      <c r="AK6" s="11">
        <v>505</v>
      </c>
      <c r="AL6" s="11">
        <v>2009</v>
      </c>
      <c r="AM6" s="11">
        <v>33</v>
      </c>
      <c r="AN6" s="11">
        <v>13050</v>
      </c>
      <c r="AO6" s="11">
        <v>4217</v>
      </c>
      <c r="AP6" s="11">
        <v>15486</v>
      </c>
      <c r="AQ6" s="11">
        <v>635.52</v>
      </c>
      <c r="AR6" s="11">
        <v>124437</v>
      </c>
      <c r="AS6" s="11">
        <v>7798</v>
      </c>
      <c r="AT6" s="11">
        <v>25729</v>
      </c>
      <c r="AU6" s="11">
        <v>929</v>
      </c>
      <c r="AV6" s="11">
        <v>0</v>
      </c>
      <c r="AW6" s="11">
        <v>0</v>
      </c>
      <c r="AX6" s="11">
        <v>143522</v>
      </c>
      <c r="AY6" s="11">
        <v>6603</v>
      </c>
      <c r="AZ6" s="11"/>
      <c r="BA6" s="11"/>
      <c r="BB6" s="11">
        <v>28189</v>
      </c>
      <c r="BC6" s="11">
        <v>7502.6</v>
      </c>
      <c r="BD6" s="11">
        <v>12315</v>
      </c>
      <c r="BE6" s="11">
        <v>1957</v>
      </c>
      <c r="BF6" s="11">
        <v>676526</v>
      </c>
      <c r="BG6" s="11">
        <v>40424</v>
      </c>
      <c r="BH6" s="11">
        <v>3971</v>
      </c>
      <c r="BI6" s="11">
        <v>72.569999999999993</v>
      </c>
      <c r="BJ6" s="11">
        <v>15643</v>
      </c>
      <c r="BK6" s="11">
        <v>1921</v>
      </c>
      <c r="BL6" s="11">
        <v>230948</v>
      </c>
      <c r="BM6" s="11">
        <v>13892</v>
      </c>
      <c r="BN6" s="39">
        <v>196486</v>
      </c>
      <c r="BO6" s="39">
        <v>16909</v>
      </c>
      <c r="BP6" s="11">
        <v>156445</v>
      </c>
      <c r="BQ6" s="11">
        <v>9770</v>
      </c>
      <c r="BR6" s="12">
        <f t="shared" ref="BR6:BR14" si="0">B6+D6+F6+H6+J6+L6+N6+P6+R6+T6+V6+X6+Z6+AB6+AD6+AF6+AH6+AJ6+AL6+AN6+AP6+AR6+AT6+AV6+AX6+AZ6+BB6+BD6+BF6+BH6+BJ6+BL6+BN6+BP6</f>
        <v>4767713</v>
      </c>
      <c r="BS6" s="12">
        <f t="shared" ref="BS6:BS14" si="1">C6+E6+G6+I6+K6+M6+O6+Q6+S6+U6+W6+Y6+AA6+AC6+AE6+AG6+AI6+AK6+AM6+AO6+AQ6+AS6+AU6+AW6+AY6+BA6+BC6+BE6+BG6+BI6+BK6+BM6+BO6+BQ6</f>
        <v>264280.57</v>
      </c>
    </row>
    <row r="7" spans="1:71" x14ac:dyDescent="0.25">
      <c r="A7" s="11" t="s">
        <v>138</v>
      </c>
      <c r="B7" s="11"/>
      <c r="C7" s="11"/>
      <c r="D7" s="11">
        <v>950</v>
      </c>
      <c r="E7" s="11">
        <v>2003</v>
      </c>
      <c r="F7" s="11"/>
      <c r="G7" s="11"/>
      <c r="H7" s="11">
        <v>656</v>
      </c>
      <c r="I7" s="11">
        <v>272</v>
      </c>
      <c r="J7" s="11">
        <v>455719</v>
      </c>
      <c r="K7" s="11">
        <v>11471</v>
      </c>
      <c r="L7" s="11">
        <v>414982</v>
      </c>
      <c r="M7" s="11">
        <v>4339</v>
      </c>
      <c r="N7" s="11">
        <v>530495</v>
      </c>
      <c r="O7" s="11">
        <v>46021</v>
      </c>
      <c r="P7" s="11">
        <v>4083</v>
      </c>
      <c r="Q7" s="11">
        <v>395</v>
      </c>
      <c r="R7" s="11">
        <v>16742</v>
      </c>
      <c r="S7" s="11">
        <v>1040</v>
      </c>
      <c r="T7" s="11">
        <v>1</v>
      </c>
      <c r="U7" s="11">
        <v>0.16</v>
      </c>
      <c r="V7" s="11"/>
      <c r="W7" s="11"/>
      <c r="X7" s="11">
        <v>14637</v>
      </c>
      <c r="Y7" s="11">
        <v>1591.81</v>
      </c>
      <c r="Z7" s="11">
        <v>1886</v>
      </c>
      <c r="AA7" s="11">
        <v>13758</v>
      </c>
      <c r="AB7" s="11">
        <v>87214</v>
      </c>
      <c r="AC7" s="11">
        <v>13724.2</v>
      </c>
      <c r="AD7" s="11">
        <v>55270</v>
      </c>
      <c r="AE7" s="11">
        <v>8897</v>
      </c>
      <c r="AF7" s="11">
        <v>7009</v>
      </c>
      <c r="AG7" s="11">
        <v>345.83</v>
      </c>
      <c r="AH7" s="11">
        <v>81706</v>
      </c>
      <c r="AI7" s="11">
        <v>915</v>
      </c>
      <c r="AJ7" s="11">
        <v>2779</v>
      </c>
      <c r="AK7" s="11">
        <v>535</v>
      </c>
      <c r="AL7" s="11">
        <v>29760</v>
      </c>
      <c r="AM7" s="11">
        <v>4782</v>
      </c>
      <c r="AN7" s="11">
        <v>391</v>
      </c>
      <c r="AO7" s="11">
        <v>2901</v>
      </c>
      <c r="AP7" s="11">
        <v>656073</v>
      </c>
      <c r="AQ7" s="11">
        <v>9665.5300000000007</v>
      </c>
      <c r="AR7" s="11">
        <v>604264</v>
      </c>
      <c r="AS7" s="11">
        <v>51870</v>
      </c>
      <c r="AT7" s="11">
        <v>15515</v>
      </c>
      <c r="AU7" s="11">
        <v>755</v>
      </c>
      <c r="AV7" s="11">
        <v>0</v>
      </c>
      <c r="AW7" s="11">
        <v>0</v>
      </c>
      <c r="AX7" s="11">
        <v>23813</v>
      </c>
      <c r="AY7" s="11">
        <v>6714</v>
      </c>
      <c r="AZ7" s="11">
        <v>710</v>
      </c>
      <c r="BA7" s="11">
        <v>65</v>
      </c>
      <c r="BB7" s="11">
        <v>1583</v>
      </c>
      <c r="BC7" s="11">
        <v>352.3</v>
      </c>
      <c r="BD7" s="11">
        <v>36240</v>
      </c>
      <c r="BE7" s="11">
        <v>10262</v>
      </c>
      <c r="BF7" s="11">
        <v>711</v>
      </c>
      <c r="BG7" s="11">
        <v>62</v>
      </c>
      <c r="BH7" s="11">
        <v>144959</v>
      </c>
      <c r="BI7" s="11">
        <v>27392.71</v>
      </c>
      <c r="BJ7" s="11">
        <v>1888</v>
      </c>
      <c r="BK7" s="11">
        <v>225</v>
      </c>
      <c r="BL7" s="11">
        <v>447676</v>
      </c>
      <c r="BM7" s="11">
        <v>3974</v>
      </c>
      <c r="BN7" s="39">
        <v>9630</v>
      </c>
      <c r="BO7" s="39">
        <v>1595</v>
      </c>
      <c r="BP7" s="11">
        <v>63</v>
      </c>
      <c r="BQ7" s="11">
        <v>4</v>
      </c>
      <c r="BR7" s="12">
        <f t="shared" si="0"/>
        <v>3647405</v>
      </c>
      <c r="BS7" s="12">
        <f t="shared" si="1"/>
        <v>225927.53999999998</v>
      </c>
    </row>
    <row r="8" spans="1:71" x14ac:dyDescent="0.25">
      <c r="A8" s="11" t="s">
        <v>139</v>
      </c>
      <c r="B8" s="11">
        <v>72156</v>
      </c>
      <c r="C8" s="11">
        <v>1082</v>
      </c>
      <c r="D8" s="11">
        <v>5017</v>
      </c>
      <c r="E8" s="11">
        <v>5664</v>
      </c>
      <c r="F8" s="11">
        <v>2663</v>
      </c>
      <c r="G8" s="82">
        <v>63.45</v>
      </c>
      <c r="H8" s="11">
        <v>14369</v>
      </c>
      <c r="I8" s="11">
        <v>8244</v>
      </c>
      <c r="J8" s="11">
        <v>1910129</v>
      </c>
      <c r="K8" s="11">
        <v>108764</v>
      </c>
      <c r="L8" s="11">
        <v>374195</v>
      </c>
      <c r="M8" s="11">
        <v>35960</v>
      </c>
      <c r="N8" s="11">
        <v>145400</v>
      </c>
      <c r="O8" s="11">
        <v>24741</v>
      </c>
      <c r="P8" s="11">
        <v>14906</v>
      </c>
      <c r="Q8" s="11">
        <v>5585</v>
      </c>
      <c r="R8" s="11">
        <v>33312</v>
      </c>
      <c r="S8" s="11">
        <v>1549</v>
      </c>
      <c r="T8" s="11">
        <v>1260</v>
      </c>
      <c r="U8" s="11">
        <v>489.56</v>
      </c>
      <c r="V8" s="11">
        <v>55</v>
      </c>
      <c r="W8" s="11">
        <v>1949.72</v>
      </c>
      <c r="X8" s="11">
        <v>68576</v>
      </c>
      <c r="Y8" s="11">
        <v>16990.2</v>
      </c>
      <c r="Z8" s="11">
        <v>8505</v>
      </c>
      <c r="AA8" s="11">
        <v>101245</v>
      </c>
      <c r="AB8" s="11">
        <v>442705</v>
      </c>
      <c r="AC8" s="11">
        <v>77021.3</v>
      </c>
      <c r="AD8" s="11">
        <v>4195579</v>
      </c>
      <c r="AE8" s="11">
        <v>176037</v>
      </c>
      <c r="AF8" s="11">
        <v>437111</v>
      </c>
      <c r="AG8" s="11">
        <v>83787.73</v>
      </c>
      <c r="AH8" s="11">
        <v>25350</v>
      </c>
      <c r="AI8" s="11">
        <v>2281</v>
      </c>
      <c r="AJ8" s="11">
        <v>218262</v>
      </c>
      <c r="AK8" s="11">
        <v>26370</v>
      </c>
      <c r="AL8" s="11">
        <v>85334</v>
      </c>
      <c r="AM8" s="11">
        <v>10167</v>
      </c>
      <c r="AN8" s="11">
        <v>15919</v>
      </c>
      <c r="AO8" s="11">
        <v>3099</v>
      </c>
      <c r="AP8" s="11">
        <v>370432</v>
      </c>
      <c r="AQ8" s="11">
        <v>88376.960000000006</v>
      </c>
      <c r="AR8" s="11">
        <v>174177</v>
      </c>
      <c r="AS8" s="11">
        <v>189970</v>
      </c>
      <c r="AT8" s="11">
        <v>247189</v>
      </c>
      <c r="AU8" s="11">
        <v>70066</v>
      </c>
      <c r="AV8" s="11">
        <v>5713</v>
      </c>
      <c r="AW8" s="11">
        <v>2109.481565</v>
      </c>
      <c r="AX8" s="11">
        <v>430654</v>
      </c>
      <c r="AY8" s="11">
        <v>76768</v>
      </c>
      <c r="AZ8" s="11"/>
      <c r="BA8" s="11"/>
      <c r="BB8" s="11">
        <v>43094</v>
      </c>
      <c r="BC8" s="11">
        <v>13189.7</v>
      </c>
      <c r="BD8" s="11">
        <v>194837</v>
      </c>
      <c r="BE8" s="11">
        <v>36962</v>
      </c>
      <c r="BF8" s="11">
        <v>103188</v>
      </c>
      <c r="BG8" s="11">
        <v>34154</v>
      </c>
      <c r="BH8" s="11">
        <v>71367</v>
      </c>
      <c r="BI8" s="11">
        <v>3401.21</v>
      </c>
      <c r="BJ8" s="11">
        <v>19314</v>
      </c>
      <c r="BK8" s="11">
        <v>10727</v>
      </c>
      <c r="BL8" s="11">
        <v>1151239</v>
      </c>
      <c r="BM8" s="11">
        <v>91569</v>
      </c>
      <c r="BN8" s="39">
        <v>181458</v>
      </c>
      <c r="BO8" s="39">
        <v>80845</v>
      </c>
      <c r="BP8" s="11">
        <v>100215</v>
      </c>
      <c r="BQ8" s="11">
        <v>13348</v>
      </c>
      <c r="BR8" s="12">
        <f t="shared" si="0"/>
        <v>11163680</v>
      </c>
      <c r="BS8" s="12">
        <f t="shared" si="1"/>
        <v>1402576.3115649999</v>
      </c>
    </row>
    <row r="9" spans="1:71" x14ac:dyDescent="0.25">
      <c r="A9" s="11" t="s">
        <v>140</v>
      </c>
      <c r="B9" s="11"/>
      <c r="C9" s="11"/>
      <c r="D9" s="11"/>
      <c r="E9" s="11"/>
      <c r="F9" s="11">
        <v>1157</v>
      </c>
      <c r="G9" s="82">
        <v>2053.61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>
        <v>6</v>
      </c>
      <c r="Y9" s="11">
        <v>4.3</v>
      </c>
      <c r="Z9" s="11"/>
      <c r="AA9" s="11"/>
      <c r="AB9" s="11"/>
      <c r="AC9" s="11"/>
      <c r="AD9" s="11"/>
      <c r="AE9" s="11"/>
      <c r="AF9" s="11">
        <v>0</v>
      </c>
      <c r="AG9" s="11"/>
      <c r="AH9" s="11">
        <v>6049</v>
      </c>
      <c r="AI9" s="11">
        <v>35</v>
      </c>
      <c r="AJ9" s="11"/>
      <c r="AK9" s="11"/>
      <c r="AL9" s="11"/>
      <c r="AM9" s="11"/>
      <c r="AN9" s="11"/>
      <c r="AO9" s="11"/>
      <c r="AP9" s="11">
        <v>0</v>
      </c>
      <c r="AQ9" s="11">
        <v>0</v>
      </c>
      <c r="AR9" s="11">
        <v>168</v>
      </c>
      <c r="AS9" s="11">
        <v>11</v>
      </c>
      <c r="AT9" s="11"/>
      <c r="AU9" s="11"/>
      <c r="AV9" s="11">
        <v>0</v>
      </c>
      <c r="AW9" s="11">
        <v>0</v>
      </c>
      <c r="AX9" s="11"/>
      <c r="AY9" s="11"/>
      <c r="AZ9" s="11"/>
      <c r="BA9" s="11"/>
      <c r="BB9" s="11">
        <v>23</v>
      </c>
      <c r="BC9" s="11">
        <v>499.9</v>
      </c>
      <c r="BD9" s="11">
        <v>5</v>
      </c>
      <c r="BE9" s="11">
        <v>1</v>
      </c>
      <c r="BF9" s="11"/>
      <c r="BG9" s="11"/>
      <c r="BH9" s="11">
        <v>0</v>
      </c>
      <c r="BI9" s="11">
        <v>0</v>
      </c>
      <c r="BJ9" s="11"/>
      <c r="BK9" s="11"/>
      <c r="BL9" s="11"/>
      <c r="BM9" s="11"/>
      <c r="BN9" s="11">
        <v>1</v>
      </c>
      <c r="BO9" s="11"/>
      <c r="BP9" s="11"/>
      <c r="BQ9" s="11"/>
      <c r="BR9" s="12">
        <f t="shared" si="0"/>
        <v>7409</v>
      </c>
      <c r="BS9" s="12">
        <f t="shared" si="1"/>
        <v>2604.8100000000004</v>
      </c>
    </row>
    <row r="10" spans="1:71" x14ac:dyDescent="0.25">
      <c r="A10" s="11" t="s">
        <v>141</v>
      </c>
      <c r="B10" s="11">
        <v>79438</v>
      </c>
      <c r="C10" s="11">
        <v>5373</v>
      </c>
      <c r="D10" s="11">
        <v>12777</v>
      </c>
      <c r="E10" s="11">
        <v>1199</v>
      </c>
      <c r="F10" s="11">
        <v>723</v>
      </c>
      <c r="G10" s="82">
        <v>18.100000000000001</v>
      </c>
      <c r="H10" s="11">
        <v>35923</v>
      </c>
      <c r="I10" s="11">
        <v>7712</v>
      </c>
      <c r="J10" s="11">
        <v>730324</v>
      </c>
      <c r="K10" s="11">
        <v>61992</v>
      </c>
      <c r="L10" s="11">
        <v>137383</v>
      </c>
      <c r="M10" s="11">
        <v>7381</v>
      </c>
      <c r="N10" s="11">
        <v>37440</v>
      </c>
      <c r="O10" s="11">
        <v>7810</v>
      </c>
      <c r="P10" s="11">
        <v>8563</v>
      </c>
      <c r="Q10" s="11">
        <v>1394</v>
      </c>
      <c r="R10" s="11">
        <f>1570+17186</f>
        <v>18756</v>
      </c>
      <c r="S10" s="11">
        <v>516</v>
      </c>
      <c r="T10" s="11">
        <v>4192</v>
      </c>
      <c r="U10" s="11">
        <v>1086.03</v>
      </c>
      <c r="V10" s="11">
        <v>1112</v>
      </c>
      <c r="W10" s="11">
        <v>7217.87</v>
      </c>
      <c r="X10" s="11">
        <v>85587</v>
      </c>
      <c r="Y10" s="11">
        <v>14241.65</v>
      </c>
      <c r="Z10" s="11">
        <v>19139</v>
      </c>
      <c r="AA10" s="11">
        <v>721216</v>
      </c>
      <c r="AB10" s="11">
        <v>479516</v>
      </c>
      <c r="AC10" s="11">
        <v>24605.8</v>
      </c>
      <c r="AD10" s="11">
        <f>326269+374252</f>
        <v>700521</v>
      </c>
      <c r="AE10" s="11">
        <f>6760+64449</f>
        <v>71209</v>
      </c>
      <c r="AF10" s="11">
        <v>103907</v>
      </c>
      <c r="AG10" s="11">
        <v>58081.37</v>
      </c>
      <c r="AH10" s="11">
        <v>93238</v>
      </c>
      <c r="AI10" s="11">
        <v>1270</v>
      </c>
      <c r="AJ10" s="11">
        <v>151281</v>
      </c>
      <c r="AK10" s="11">
        <v>1603</v>
      </c>
      <c r="AL10" s="11">
        <v>10820</v>
      </c>
      <c r="AM10" s="11">
        <v>995</v>
      </c>
      <c r="AN10" s="11">
        <v>22498</v>
      </c>
      <c r="AO10" s="11">
        <v>5107</v>
      </c>
      <c r="AP10" s="11">
        <v>107463</v>
      </c>
      <c r="AQ10" s="11">
        <v>60952.01</v>
      </c>
      <c r="AR10" s="11">
        <v>3373852</v>
      </c>
      <c r="AS10" s="11">
        <v>190275</v>
      </c>
      <c r="AT10" s="11">
        <v>185533</v>
      </c>
      <c r="AU10" s="11">
        <v>129170</v>
      </c>
      <c r="AV10" s="11">
        <v>928</v>
      </c>
      <c r="AW10" s="11">
        <v>292.8384461</v>
      </c>
      <c r="AX10" s="11">
        <v>193858</v>
      </c>
      <c r="AY10" s="11">
        <v>61373</v>
      </c>
      <c r="AZ10" s="11">
        <v>1819</v>
      </c>
      <c r="BA10" s="11">
        <v>204</v>
      </c>
      <c r="BB10" s="11">
        <v>45658</v>
      </c>
      <c r="BC10" s="11">
        <v>23006.400000000001</v>
      </c>
      <c r="BD10" s="11">
        <v>94698</v>
      </c>
      <c r="BE10" s="11">
        <v>10916</v>
      </c>
      <c r="BF10" s="11">
        <v>11410</v>
      </c>
      <c r="BG10" s="11">
        <v>47976</v>
      </c>
      <c r="BH10" s="11">
        <v>59038</v>
      </c>
      <c r="BI10" s="11">
        <v>1905.73</v>
      </c>
      <c r="BJ10" s="11">
        <v>105294</v>
      </c>
      <c r="BK10" s="11">
        <v>13493</v>
      </c>
      <c r="BL10" s="11">
        <v>261348</v>
      </c>
      <c r="BM10" s="11">
        <v>56944</v>
      </c>
      <c r="BN10" s="11"/>
      <c r="BO10" s="11"/>
      <c r="BP10" s="11">
        <v>26150</v>
      </c>
      <c r="BQ10" s="11">
        <v>10353</v>
      </c>
      <c r="BR10" s="12">
        <f t="shared" si="0"/>
        <v>7200187</v>
      </c>
      <c r="BS10" s="12">
        <f t="shared" si="1"/>
        <v>1606888.7984461</v>
      </c>
    </row>
    <row r="11" spans="1:71" x14ac:dyDescent="0.25">
      <c r="A11" s="11" t="s">
        <v>46</v>
      </c>
      <c r="B11" s="11">
        <f>B12-B10-B9-B8-B7-B6-B5</f>
        <v>1723</v>
      </c>
      <c r="C11" s="11">
        <f t="shared" ref="C11:BN11" si="2">C12-C10-C9-C8-C7-C6-C5</f>
        <v>212.75799999999981</v>
      </c>
      <c r="D11" s="11">
        <f t="shared" si="2"/>
        <v>0</v>
      </c>
      <c r="E11" s="11">
        <f t="shared" si="2"/>
        <v>0</v>
      </c>
      <c r="F11" s="11">
        <f t="shared" si="2"/>
        <v>101324</v>
      </c>
      <c r="G11" s="82">
        <f t="shared" si="2"/>
        <v>7632.3199999999988</v>
      </c>
      <c r="H11" s="11">
        <f t="shared" si="2"/>
        <v>15043</v>
      </c>
      <c r="I11" s="11">
        <f t="shared" si="2"/>
        <v>1672</v>
      </c>
      <c r="J11" s="11">
        <f t="shared" si="2"/>
        <v>324215</v>
      </c>
      <c r="K11" s="11">
        <f t="shared" si="2"/>
        <v>6850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0</v>
      </c>
      <c r="P11" s="11">
        <f t="shared" si="2"/>
        <v>0</v>
      </c>
      <c r="Q11" s="11">
        <f t="shared" si="2"/>
        <v>1</v>
      </c>
      <c r="R11" s="11">
        <f t="shared" si="2"/>
        <v>13612</v>
      </c>
      <c r="S11" s="11">
        <f t="shared" si="2"/>
        <v>894</v>
      </c>
      <c r="T11" s="11">
        <f t="shared" si="2"/>
        <v>2850</v>
      </c>
      <c r="U11" s="11">
        <f t="shared" si="2"/>
        <v>145.71</v>
      </c>
      <c r="V11" s="11">
        <f t="shared" si="2"/>
        <v>0</v>
      </c>
      <c r="W11" s="11">
        <f t="shared" si="2"/>
        <v>5.9108273831043334E-13</v>
      </c>
      <c r="X11" s="11">
        <f t="shared" si="2"/>
        <v>14554</v>
      </c>
      <c r="Y11" s="11">
        <f t="shared" si="2"/>
        <v>1553.059999999994</v>
      </c>
      <c r="Z11" s="11">
        <f t="shared" si="2"/>
        <v>1</v>
      </c>
      <c r="AA11" s="11">
        <f t="shared" si="2"/>
        <v>0</v>
      </c>
      <c r="AB11" s="11">
        <f t="shared" si="2"/>
        <v>364170</v>
      </c>
      <c r="AC11" s="11">
        <f t="shared" si="2"/>
        <v>10364.700000000015</v>
      </c>
      <c r="AD11" s="11">
        <f t="shared" si="2"/>
        <v>649022</v>
      </c>
      <c r="AE11" s="11">
        <f t="shared" si="2"/>
        <v>27032</v>
      </c>
      <c r="AF11" s="11">
        <f t="shared" si="2"/>
        <v>0</v>
      </c>
      <c r="AG11" s="11">
        <f t="shared" si="2"/>
        <v>0</v>
      </c>
      <c r="AH11" s="11">
        <f t="shared" si="2"/>
        <v>28925</v>
      </c>
      <c r="AI11" s="11">
        <f t="shared" si="2"/>
        <v>811</v>
      </c>
      <c r="AJ11" s="11">
        <f t="shared" si="2"/>
        <v>116991</v>
      </c>
      <c r="AK11" s="11">
        <f t="shared" si="2"/>
        <v>5077.7799999999988</v>
      </c>
      <c r="AL11" s="11">
        <f t="shared" si="2"/>
        <v>180035</v>
      </c>
      <c r="AM11" s="11">
        <f t="shared" si="2"/>
        <v>7885</v>
      </c>
      <c r="AN11" s="11">
        <f t="shared" si="2"/>
        <v>0</v>
      </c>
      <c r="AO11" s="11">
        <f t="shared" si="2"/>
        <v>0</v>
      </c>
      <c r="AP11" s="11">
        <f t="shared" si="2"/>
        <v>57957</v>
      </c>
      <c r="AQ11" s="11">
        <f t="shared" si="2"/>
        <v>7111.8399999999674</v>
      </c>
      <c r="AR11" s="11">
        <f t="shared" si="2"/>
        <v>0</v>
      </c>
      <c r="AS11" s="11">
        <f t="shared" si="2"/>
        <v>-1</v>
      </c>
      <c r="AT11" s="11">
        <f t="shared" si="2"/>
        <v>187743</v>
      </c>
      <c r="AU11" s="11">
        <f t="shared" si="2"/>
        <v>9650</v>
      </c>
      <c r="AV11" s="11">
        <f t="shared" si="2"/>
        <v>0</v>
      </c>
      <c r="AW11" s="11">
        <f t="shared" si="2"/>
        <v>1.9966999997365065E-3</v>
      </c>
      <c r="AX11" s="11">
        <f t="shared" si="2"/>
        <v>184453</v>
      </c>
      <c r="AY11" s="11">
        <f t="shared" si="2"/>
        <v>10334</v>
      </c>
      <c r="AZ11" s="11">
        <f t="shared" si="2"/>
        <v>246</v>
      </c>
      <c r="BA11" s="11">
        <f t="shared" si="2"/>
        <v>27</v>
      </c>
      <c r="BB11" s="11">
        <f t="shared" si="2"/>
        <v>0</v>
      </c>
      <c r="BC11" s="11">
        <f t="shared" si="2"/>
        <v>0</v>
      </c>
      <c r="BD11" s="11">
        <f t="shared" si="2"/>
        <v>0</v>
      </c>
      <c r="BE11" s="11">
        <f t="shared" si="2"/>
        <v>-1</v>
      </c>
      <c r="BF11" s="11">
        <f t="shared" si="2"/>
        <v>0</v>
      </c>
      <c r="BG11" s="11">
        <f t="shared" si="2"/>
        <v>-1.3399999999965075</v>
      </c>
      <c r="BH11" s="11">
        <f t="shared" si="2"/>
        <v>41184</v>
      </c>
      <c r="BI11" s="11">
        <f t="shared" si="2"/>
        <v>983.38099999999758</v>
      </c>
      <c r="BJ11" s="11">
        <f t="shared" si="2"/>
        <v>16944</v>
      </c>
      <c r="BK11" s="11">
        <f t="shared" si="2"/>
        <v>2169</v>
      </c>
      <c r="BL11" s="11">
        <f t="shared" si="2"/>
        <v>114298</v>
      </c>
      <c r="BM11" s="11">
        <f t="shared" si="2"/>
        <v>8671</v>
      </c>
      <c r="BN11" s="11">
        <f t="shared" si="2"/>
        <v>191342</v>
      </c>
      <c r="BO11" s="11">
        <f t="shared" ref="BO11:BQ11" si="3">BO12-BO10-BO9-BO8-BO7-BO6-BO5</f>
        <v>50194</v>
      </c>
      <c r="BP11" s="11">
        <f t="shared" si="3"/>
        <v>0</v>
      </c>
      <c r="BQ11" s="11">
        <f t="shared" si="3"/>
        <v>0</v>
      </c>
      <c r="BR11" s="12">
        <f t="shared" si="0"/>
        <v>2606632</v>
      </c>
      <c r="BS11" s="12">
        <f t="shared" si="1"/>
        <v>159268.21099669999</v>
      </c>
    </row>
    <row r="12" spans="1:71" s="9" customFormat="1" x14ac:dyDescent="0.25">
      <c r="A12" s="12" t="s">
        <v>142</v>
      </c>
      <c r="B12" s="12">
        <v>153673</v>
      </c>
      <c r="C12" s="12">
        <v>6693.7579999999998</v>
      </c>
      <c r="D12" s="12">
        <v>73879</v>
      </c>
      <c r="E12" s="12">
        <v>14310</v>
      </c>
      <c r="F12" s="12">
        <v>105867</v>
      </c>
      <c r="G12" s="46">
        <v>9767.48</v>
      </c>
      <c r="H12" s="12">
        <v>256728</v>
      </c>
      <c r="I12" s="12">
        <v>48661</v>
      </c>
      <c r="J12" s="12">
        <v>5928442</v>
      </c>
      <c r="K12" s="12">
        <v>282295</v>
      </c>
      <c r="L12" s="12">
        <v>1069705</v>
      </c>
      <c r="M12" s="12">
        <v>57832</v>
      </c>
      <c r="N12" s="12">
        <v>990132</v>
      </c>
      <c r="O12" s="12">
        <v>110083</v>
      </c>
      <c r="P12" s="12">
        <v>51256</v>
      </c>
      <c r="Q12" s="12">
        <v>12597</v>
      </c>
      <c r="R12" s="12">
        <v>90159</v>
      </c>
      <c r="S12" s="12">
        <v>4147</v>
      </c>
      <c r="T12" s="12">
        <v>9123</v>
      </c>
      <c r="U12" s="12">
        <v>1814.53</v>
      </c>
      <c r="V12" s="12">
        <v>1167</v>
      </c>
      <c r="W12" s="12">
        <v>9168.94</v>
      </c>
      <c r="X12" s="12">
        <v>454497</v>
      </c>
      <c r="Y12" s="12">
        <v>51496.08</v>
      </c>
      <c r="Z12" s="12">
        <v>37907</v>
      </c>
      <c r="AA12" s="12">
        <v>1013871</v>
      </c>
      <c r="AB12" s="12">
        <v>2157910</v>
      </c>
      <c r="AC12" s="12">
        <v>177647.6</v>
      </c>
      <c r="AD12" s="12">
        <v>5988244</v>
      </c>
      <c r="AE12" s="12">
        <v>348688</v>
      </c>
      <c r="AF12" s="12">
        <v>1633682</v>
      </c>
      <c r="AG12" s="12">
        <v>189062.53</v>
      </c>
      <c r="AH12" s="12">
        <v>271146</v>
      </c>
      <c r="AI12" s="12">
        <v>8205</v>
      </c>
      <c r="AJ12" s="12">
        <v>546855</v>
      </c>
      <c r="AK12" s="12">
        <v>37102.78</v>
      </c>
      <c r="AL12" s="12">
        <v>342510</v>
      </c>
      <c r="AM12" s="12">
        <v>26571</v>
      </c>
      <c r="AN12" s="12">
        <v>99254</v>
      </c>
      <c r="AO12" s="12">
        <v>25046</v>
      </c>
      <c r="AP12" s="12">
        <v>3297226</v>
      </c>
      <c r="AQ12" s="12">
        <v>314432</v>
      </c>
      <c r="AR12" s="12">
        <v>7458318</v>
      </c>
      <c r="AS12" s="12">
        <v>674972</v>
      </c>
      <c r="AT12" s="12">
        <v>2285857</v>
      </c>
      <c r="AU12" s="12">
        <v>340627</v>
      </c>
      <c r="AV12" s="12">
        <v>7026</v>
      </c>
      <c r="AW12" s="12">
        <v>2488.9299999999998</v>
      </c>
      <c r="AX12" s="12">
        <v>1440642</v>
      </c>
      <c r="AY12" s="12">
        <v>197123</v>
      </c>
      <c r="AZ12" s="12">
        <v>3145</v>
      </c>
      <c r="BA12" s="12">
        <v>353</v>
      </c>
      <c r="BB12" s="12">
        <v>209804</v>
      </c>
      <c r="BC12" s="12">
        <v>57540.3</v>
      </c>
      <c r="BD12" s="12">
        <v>419059</v>
      </c>
      <c r="BE12" s="12">
        <v>71783</v>
      </c>
      <c r="BF12" s="12">
        <v>828155</v>
      </c>
      <c r="BG12" s="12">
        <v>127671.66</v>
      </c>
      <c r="BH12" s="12">
        <v>681224</v>
      </c>
      <c r="BI12" s="12">
        <v>54503.110999999997</v>
      </c>
      <c r="BJ12" s="12">
        <v>899706</v>
      </c>
      <c r="BK12" s="12">
        <v>116086</v>
      </c>
      <c r="BL12" s="12">
        <v>2504078</v>
      </c>
      <c r="BM12" s="12">
        <v>215505</v>
      </c>
      <c r="BN12" s="12">
        <v>3999407</v>
      </c>
      <c r="BO12" s="12">
        <v>347989</v>
      </c>
      <c r="BP12" s="12">
        <v>299642</v>
      </c>
      <c r="BQ12" s="12">
        <v>35895</v>
      </c>
      <c r="BR12" s="12">
        <f t="shared" si="0"/>
        <v>44595425</v>
      </c>
      <c r="BS12" s="12">
        <f t="shared" si="1"/>
        <v>4992028.6989999991</v>
      </c>
    </row>
    <row r="13" spans="1:71" x14ac:dyDescent="0.25">
      <c r="A13" s="11" t="s">
        <v>143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>
        <v>264</v>
      </c>
      <c r="Y13" s="11">
        <v>13.09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>
        <v>516</v>
      </c>
      <c r="BG13" s="11">
        <v>59</v>
      </c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2">
        <f t="shared" si="0"/>
        <v>780</v>
      </c>
      <c r="BS13" s="12">
        <f t="shared" si="1"/>
        <v>72.09</v>
      </c>
    </row>
    <row r="14" spans="1:71" s="9" customFormat="1" x14ac:dyDescent="0.25">
      <c r="A14" s="12" t="s">
        <v>144</v>
      </c>
      <c r="B14" s="12">
        <f>B12+B13</f>
        <v>153673</v>
      </c>
      <c r="C14" s="12">
        <f t="shared" ref="C14:BN14" si="4">C12+C13</f>
        <v>6693.7579999999998</v>
      </c>
      <c r="D14" s="12">
        <f t="shared" si="4"/>
        <v>73879</v>
      </c>
      <c r="E14" s="12">
        <f t="shared" si="4"/>
        <v>14310</v>
      </c>
      <c r="F14" s="12">
        <f t="shared" si="4"/>
        <v>105867</v>
      </c>
      <c r="G14" s="12">
        <f t="shared" si="4"/>
        <v>9767.48</v>
      </c>
      <c r="H14" s="12">
        <f t="shared" si="4"/>
        <v>256728</v>
      </c>
      <c r="I14" s="12">
        <f t="shared" si="4"/>
        <v>48661</v>
      </c>
      <c r="J14" s="12">
        <f t="shared" si="4"/>
        <v>5928442</v>
      </c>
      <c r="K14" s="12">
        <f t="shared" si="4"/>
        <v>282295</v>
      </c>
      <c r="L14" s="12">
        <f t="shared" si="4"/>
        <v>1069705</v>
      </c>
      <c r="M14" s="12">
        <f t="shared" si="4"/>
        <v>57832</v>
      </c>
      <c r="N14" s="12">
        <f t="shared" si="4"/>
        <v>990132</v>
      </c>
      <c r="O14" s="12">
        <f t="shared" si="4"/>
        <v>110083</v>
      </c>
      <c r="P14" s="12">
        <f t="shared" si="4"/>
        <v>51256</v>
      </c>
      <c r="Q14" s="12">
        <f t="shared" si="4"/>
        <v>12597</v>
      </c>
      <c r="R14" s="12">
        <f t="shared" si="4"/>
        <v>90159</v>
      </c>
      <c r="S14" s="12">
        <f t="shared" si="4"/>
        <v>4147</v>
      </c>
      <c r="T14" s="12">
        <f t="shared" si="4"/>
        <v>9123</v>
      </c>
      <c r="U14" s="12">
        <f t="shared" si="4"/>
        <v>1814.53</v>
      </c>
      <c r="V14" s="12">
        <f t="shared" si="4"/>
        <v>1167</v>
      </c>
      <c r="W14" s="12">
        <f t="shared" si="4"/>
        <v>9168.94</v>
      </c>
      <c r="X14" s="12">
        <f t="shared" si="4"/>
        <v>454761</v>
      </c>
      <c r="Y14" s="12">
        <f t="shared" si="4"/>
        <v>51509.17</v>
      </c>
      <c r="Z14" s="12">
        <f t="shared" si="4"/>
        <v>37907</v>
      </c>
      <c r="AA14" s="12">
        <f t="shared" si="4"/>
        <v>1013871</v>
      </c>
      <c r="AB14" s="12">
        <f t="shared" si="4"/>
        <v>2157910</v>
      </c>
      <c r="AC14" s="12">
        <f t="shared" si="4"/>
        <v>177647.6</v>
      </c>
      <c r="AD14" s="12">
        <f t="shared" si="4"/>
        <v>5988244</v>
      </c>
      <c r="AE14" s="12">
        <f t="shared" si="4"/>
        <v>348688</v>
      </c>
      <c r="AF14" s="12">
        <f t="shared" si="4"/>
        <v>1633682</v>
      </c>
      <c r="AG14" s="12">
        <f t="shared" si="4"/>
        <v>189062.53</v>
      </c>
      <c r="AH14" s="12">
        <f t="shared" si="4"/>
        <v>271146</v>
      </c>
      <c r="AI14" s="12">
        <f t="shared" si="4"/>
        <v>8205</v>
      </c>
      <c r="AJ14" s="12">
        <f t="shared" si="4"/>
        <v>546855</v>
      </c>
      <c r="AK14" s="12">
        <f t="shared" si="4"/>
        <v>37102.78</v>
      </c>
      <c r="AL14" s="12">
        <f t="shared" si="4"/>
        <v>342510</v>
      </c>
      <c r="AM14" s="12">
        <f t="shared" si="4"/>
        <v>26571</v>
      </c>
      <c r="AN14" s="12">
        <f t="shared" si="4"/>
        <v>99254</v>
      </c>
      <c r="AO14" s="12">
        <f t="shared" si="4"/>
        <v>25046</v>
      </c>
      <c r="AP14" s="12">
        <f t="shared" si="4"/>
        <v>3297226</v>
      </c>
      <c r="AQ14" s="12">
        <f t="shared" si="4"/>
        <v>314432</v>
      </c>
      <c r="AR14" s="12">
        <f t="shared" si="4"/>
        <v>7458318</v>
      </c>
      <c r="AS14" s="12">
        <f t="shared" si="4"/>
        <v>674972</v>
      </c>
      <c r="AT14" s="12">
        <f t="shared" si="4"/>
        <v>2285857</v>
      </c>
      <c r="AU14" s="12">
        <f t="shared" si="4"/>
        <v>340627</v>
      </c>
      <c r="AV14" s="12">
        <f t="shared" si="4"/>
        <v>7026</v>
      </c>
      <c r="AW14" s="12">
        <f t="shared" si="4"/>
        <v>2488.9299999999998</v>
      </c>
      <c r="AX14" s="12">
        <f t="shared" si="4"/>
        <v>1440642</v>
      </c>
      <c r="AY14" s="12">
        <f t="shared" si="4"/>
        <v>197123</v>
      </c>
      <c r="AZ14" s="12">
        <f t="shared" si="4"/>
        <v>3145</v>
      </c>
      <c r="BA14" s="12">
        <f t="shared" si="4"/>
        <v>353</v>
      </c>
      <c r="BB14" s="12">
        <f t="shared" si="4"/>
        <v>209804</v>
      </c>
      <c r="BC14" s="12">
        <f t="shared" si="4"/>
        <v>57540.3</v>
      </c>
      <c r="BD14" s="12">
        <f t="shared" si="4"/>
        <v>419059</v>
      </c>
      <c r="BE14" s="12">
        <f t="shared" si="4"/>
        <v>71783</v>
      </c>
      <c r="BF14" s="12">
        <f t="shared" si="4"/>
        <v>828671</v>
      </c>
      <c r="BG14" s="12">
        <f t="shared" si="4"/>
        <v>127730.66</v>
      </c>
      <c r="BH14" s="12">
        <f t="shared" si="4"/>
        <v>681224</v>
      </c>
      <c r="BI14" s="12">
        <f t="shared" si="4"/>
        <v>54503.110999999997</v>
      </c>
      <c r="BJ14" s="12">
        <f t="shared" si="4"/>
        <v>899706</v>
      </c>
      <c r="BK14" s="12">
        <f t="shared" si="4"/>
        <v>116086</v>
      </c>
      <c r="BL14" s="12">
        <f t="shared" si="4"/>
        <v>2504078</v>
      </c>
      <c r="BM14" s="12">
        <f t="shared" si="4"/>
        <v>215505</v>
      </c>
      <c r="BN14" s="12">
        <f t="shared" si="4"/>
        <v>3999407</v>
      </c>
      <c r="BO14" s="12">
        <f t="shared" ref="BO14:BQ14" si="5">BO12+BO13</f>
        <v>347989</v>
      </c>
      <c r="BP14" s="12">
        <f t="shared" si="5"/>
        <v>299642</v>
      </c>
      <c r="BQ14" s="12">
        <f t="shared" si="5"/>
        <v>35895</v>
      </c>
      <c r="BR14" s="12">
        <f t="shared" si="0"/>
        <v>44596205</v>
      </c>
      <c r="BS14" s="12">
        <f t="shared" si="1"/>
        <v>4992100.7889999989</v>
      </c>
    </row>
  </sheetData>
  <mergeCells count="35">
    <mergeCell ref="B3:C3"/>
    <mergeCell ref="D3:E3"/>
    <mergeCell ref="F3:G3"/>
    <mergeCell ref="H3:I3"/>
    <mergeCell ref="J3:K3"/>
    <mergeCell ref="V3:W3"/>
    <mergeCell ref="BR3:BS3"/>
    <mergeCell ref="BP3:BQ3"/>
    <mergeCell ref="BN3:BO3"/>
    <mergeCell ref="BL3:BM3"/>
    <mergeCell ref="BJ3:BK3"/>
    <mergeCell ref="AT3:AU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L3:M3"/>
    <mergeCell ref="N3:O3"/>
    <mergeCell ref="P3:Q3"/>
    <mergeCell ref="R3:S3"/>
    <mergeCell ref="T3:U3"/>
    <mergeCell ref="AP3:AQ3"/>
    <mergeCell ref="AR3:AS3"/>
    <mergeCell ref="BH3:BI3"/>
    <mergeCell ref="AV3:AW3"/>
    <mergeCell ref="AX3:AY3"/>
    <mergeCell ref="AZ3:BA3"/>
    <mergeCell ref="BB3:BC3"/>
    <mergeCell ref="BD3:BE3"/>
    <mergeCell ref="BF3:B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36" width="16" style="8" customWidth="1"/>
    <col min="37" max="16384" width="9.140625" style="8"/>
  </cols>
  <sheetData>
    <row r="1" spans="1:36" ht="18.75" x14ac:dyDescent="0.3">
      <c r="A1" s="18" t="s">
        <v>294</v>
      </c>
    </row>
    <row r="2" spans="1:36" x14ac:dyDescent="0.25">
      <c r="A2" s="7" t="s">
        <v>48</v>
      </c>
    </row>
    <row r="3" spans="1:36" x14ac:dyDescent="0.25">
      <c r="A3" s="4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12</v>
      </c>
      <c r="N3" s="41" t="s">
        <v>13</v>
      </c>
      <c r="O3" s="41" t="s">
        <v>14</v>
      </c>
      <c r="P3" s="41" t="s">
        <v>15</v>
      </c>
      <c r="Q3" s="41" t="s">
        <v>16</v>
      </c>
      <c r="R3" s="41" t="s">
        <v>17</v>
      </c>
      <c r="S3" s="41" t="s">
        <v>18</v>
      </c>
      <c r="T3" s="41" t="s">
        <v>19</v>
      </c>
      <c r="U3" s="41" t="s">
        <v>20</v>
      </c>
      <c r="V3" s="41" t="s">
        <v>21</v>
      </c>
      <c r="W3" s="41" t="s">
        <v>22</v>
      </c>
      <c r="X3" s="41" t="s">
        <v>23</v>
      </c>
      <c r="Y3" s="41" t="s">
        <v>24</v>
      </c>
      <c r="Z3" s="41" t="s">
        <v>25</v>
      </c>
      <c r="AA3" s="41" t="s">
        <v>26</v>
      </c>
      <c r="AB3" s="41" t="s">
        <v>27</v>
      </c>
      <c r="AC3" s="41" t="s">
        <v>28</v>
      </c>
      <c r="AD3" s="41" t="s">
        <v>29</v>
      </c>
      <c r="AE3" s="41" t="s">
        <v>30</v>
      </c>
      <c r="AF3" s="41" t="s">
        <v>31</v>
      </c>
      <c r="AG3" s="41" t="s">
        <v>32</v>
      </c>
      <c r="AH3" s="42" t="s">
        <v>33</v>
      </c>
      <c r="AI3" s="41" t="s">
        <v>34</v>
      </c>
      <c r="AJ3" s="41" t="s">
        <v>35</v>
      </c>
    </row>
    <row r="4" spans="1:36" x14ac:dyDescent="0.25">
      <c r="A4" s="4" t="s">
        <v>277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x14ac:dyDescent="0.25">
      <c r="A5" s="3" t="s">
        <v>278</v>
      </c>
      <c r="B5" s="11"/>
      <c r="C5" s="11"/>
      <c r="D5" s="11"/>
      <c r="E5" s="11"/>
      <c r="F5" s="11">
        <v>1022313</v>
      </c>
      <c r="G5" s="11">
        <v>-117852</v>
      </c>
      <c r="H5" s="11">
        <v>89227</v>
      </c>
      <c r="I5" s="11"/>
      <c r="J5" s="11">
        <v>127719</v>
      </c>
      <c r="K5" s="11">
        <v>-9647</v>
      </c>
      <c r="L5" s="11"/>
      <c r="M5" s="11">
        <v>98695</v>
      </c>
      <c r="N5" s="11">
        <v>6519</v>
      </c>
      <c r="O5" s="11">
        <v>-402514</v>
      </c>
      <c r="P5" s="11">
        <v>89396</v>
      </c>
      <c r="Q5" s="11">
        <v>215083</v>
      </c>
      <c r="R5" s="11">
        <v>-21009</v>
      </c>
      <c r="S5" s="11">
        <v>-19828</v>
      </c>
      <c r="T5" s="11">
        <v>-102588</v>
      </c>
      <c r="U5" s="11"/>
      <c r="V5" s="11">
        <v>568879.2430055351</v>
      </c>
      <c r="W5" s="11">
        <v>275538</v>
      </c>
      <c r="X5" s="11">
        <v>294132</v>
      </c>
      <c r="Y5" s="11">
        <v>958</v>
      </c>
      <c r="Z5" s="11">
        <v>92851</v>
      </c>
      <c r="AA5" s="11"/>
      <c r="AB5" s="11"/>
      <c r="AC5" s="11">
        <v>-62692</v>
      </c>
      <c r="AD5" s="11">
        <v>621688</v>
      </c>
      <c r="AE5" s="11">
        <v>47106</v>
      </c>
      <c r="AF5" s="11"/>
      <c r="AG5" s="11">
        <v>684846</v>
      </c>
      <c r="AH5" s="39">
        <v>-2488965</v>
      </c>
      <c r="AI5" s="11">
        <v>67264</v>
      </c>
      <c r="AJ5" s="11">
        <f>SUM(B5:AI5)</f>
        <v>1077119.2430055351</v>
      </c>
    </row>
    <row r="6" spans="1:36" x14ac:dyDescent="0.25">
      <c r="A6" s="3" t="s">
        <v>279</v>
      </c>
      <c r="B6" s="11"/>
      <c r="C6" s="11"/>
      <c r="D6" s="11"/>
      <c r="E6" s="11"/>
      <c r="F6" s="11">
        <v>-39239</v>
      </c>
      <c r="G6" s="11">
        <v>-49715</v>
      </c>
      <c r="H6" s="11">
        <v>142</v>
      </c>
      <c r="I6" s="11"/>
      <c r="J6" s="11"/>
      <c r="K6" s="11">
        <v>-811</v>
      </c>
      <c r="L6" s="11"/>
      <c r="M6" s="11">
        <v>22966</v>
      </c>
      <c r="N6" s="11">
        <v>-12</v>
      </c>
      <c r="O6" s="11">
        <v>-122964</v>
      </c>
      <c r="P6" s="11">
        <v>55094</v>
      </c>
      <c r="Q6" s="11">
        <v>61427</v>
      </c>
      <c r="R6" s="11"/>
      <c r="S6" s="11">
        <v>-26682</v>
      </c>
      <c r="T6" s="11">
        <v>-8793</v>
      </c>
      <c r="U6" s="11"/>
      <c r="V6" s="11">
        <v>197059.2626959125</v>
      </c>
      <c r="W6" s="11">
        <v>-19471</v>
      </c>
      <c r="X6" s="11">
        <v>-269257</v>
      </c>
      <c r="Y6" s="11">
        <v>95</v>
      </c>
      <c r="Z6" s="11">
        <v>5756</v>
      </c>
      <c r="AA6" s="11"/>
      <c r="AB6" s="11"/>
      <c r="AC6" s="11">
        <v>20624</v>
      </c>
      <c r="AD6" s="11">
        <v>-38492</v>
      </c>
      <c r="AE6" s="11">
        <v>739</v>
      </c>
      <c r="AF6" s="11"/>
      <c r="AG6" s="11">
        <v>45632</v>
      </c>
      <c r="AH6" s="39">
        <v>110973</v>
      </c>
      <c r="AI6" s="11">
        <v>375</v>
      </c>
      <c r="AJ6" s="11">
        <f t="shared" ref="AJ6:AJ7" si="0">SUM(B6:AI6)</f>
        <v>-54553.737304087495</v>
      </c>
    </row>
    <row r="7" spans="1:36" x14ac:dyDescent="0.25">
      <c r="A7" s="3" t="s">
        <v>280</v>
      </c>
      <c r="B7" s="11">
        <v>-522839</v>
      </c>
      <c r="C7" s="11">
        <v>-646923</v>
      </c>
      <c r="D7" s="11">
        <v>1324498</v>
      </c>
      <c r="E7" s="11">
        <v>-1104559</v>
      </c>
      <c r="F7" s="11">
        <v>2056567</v>
      </c>
      <c r="G7" s="11">
        <v>-392498</v>
      </c>
      <c r="H7" s="11">
        <v>136204</v>
      </c>
      <c r="I7" s="11">
        <v>88017</v>
      </c>
      <c r="J7" s="11">
        <v>-105573</v>
      </c>
      <c r="K7" s="11">
        <v>-141560</v>
      </c>
      <c r="L7" s="11">
        <v>1700476.53</v>
      </c>
      <c r="M7" s="11">
        <v>-2751</v>
      </c>
      <c r="N7" s="11">
        <v>-697404</v>
      </c>
      <c r="O7" s="11">
        <v>1389120</v>
      </c>
      <c r="P7" s="11">
        <v>3598827</v>
      </c>
      <c r="Q7" s="11">
        <v>-453362</v>
      </c>
      <c r="R7" s="11">
        <v>-38369</v>
      </c>
      <c r="S7" s="11">
        <v>-265593</v>
      </c>
      <c r="T7" s="11">
        <v>46215</v>
      </c>
      <c r="U7" s="11">
        <v>-476205</v>
      </c>
      <c r="V7" s="11">
        <v>-401248.20696236938</v>
      </c>
      <c r="W7" s="11">
        <v>-1373414</v>
      </c>
      <c r="X7" s="11">
        <v>-2419675</v>
      </c>
      <c r="Y7" s="11">
        <v>-29113</v>
      </c>
      <c r="Z7" s="11">
        <v>355887</v>
      </c>
      <c r="AA7" s="11">
        <v>-196560</v>
      </c>
      <c r="AB7" s="11">
        <v>48439</v>
      </c>
      <c r="AC7" s="11">
        <v>12429</v>
      </c>
      <c r="AD7" s="11">
        <v>321389</v>
      </c>
      <c r="AE7" s="11">
        <v>1939060</v>
      </c>
      <c r="AF7" s="11">
        <v>-887113</v>
      </c>
      <c r="AG7" s="11">
        <v>245712</v>
      </c>
      <c r="AH7" s="39">
        <v>-1192965</v>
      </c>
      <c r="AI7" s="11">
        <v>107478</v>
      </c>
      <c r="AJ7" s="11">
        <f t="shared" si="0"/>
        <v>2022594.3230376309</v>
      </c>
    </row>
    <row r="8" spans="1:36" x14ac:dyDescent="0.25">
      <c r="A8" s="4" t="s">
        <v>281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x14ac:dyDescent="0.25">
      <c r="A9" s="3" t="s">
        <v>282</v>
      </c>
      <c r="B9" s="11">
        <v>30968</v>
      </c>
      <c r="C9" s="11">
        <v>29993</v>
      </c>
      <c r="D9" s="11">
        <v>475288</v>
      </c>
      <c r="E9" s="11">
        <v>75642</v>
      </c>
      <c r="F9" s="11">
        <v>659895</v>
      </c>
      <c r="G9" s="11">
        <v>105600</v>
      </c>
      <c r="H9" s="11">
        <v>126485</v>
      </c>
      <c r="I9" s="11">
        <v>35660</v>
      </c>
      <c r="J9" s="11">
        <v>5905</v>
      </c>
      <c r="K9" s="11">
        <v>31929</v>
      </c>
      <c r="L9" s="11">
        <v>791467.26</v>
      </c>
      <c r="M9" s="11">
        <f>116595+1641</f>
        <v>118236</v>
      </c>
      <c r="N9" s="11">
        <v>127875</v>
      </c>
      <c r="O9" s="11">
        <v>370801</v>
      </c>
      <c r="P9" s="11">
        <v>940699</v>
      </c>
      <c r="Q9" s="11">
        <v>407310</v>
      </c>
      <c r="R9" s="11">
        <v>21538</v>
      </c>
      <c r="S9" s="11">
        <v>85884</v>
      </c>
      <c r="T9" s="11">
        <v>35672</v>
      </c>
      <c r="U9" s="11">
        <v>45443</v>
      </c>
      <c r="V9" s="11">
        <v>38279</v>
      </c>
      <c r="W9" s="11">
        <v>3114355</v>
      </c>
      <c r="X9" s="11">
        <v>440336</v>
      </c>
      <c r="Y9" s="11">
        <v>29639</v>
      </c>
      <c r="Z9" s="11">
        <v>296940</v>
      </c>
      <c r="AA9" s="11">
        <v>4739</v>
      </c>
      <c r="AB9" s="11">
        <v>51221</v>
      </c>
      <c r="AC9" s="11">
        <v>166978</v>
      </c>
      <c r="AD9" s="11">
        <v>266723</v>
      </c>
      <c r="AE9" s="11">
        <v>282782</v>
      </c>
      <c r="AF9" s="11">
        <v>261771</v>
      </c>
      <c r="AG9" s="11">
        <v>367128</v>
      </c>
      <c r="AH9" s="39">
        <v>463143</v>
      </c>
      <c r="AI9" s="11">
        <v>74565</v>
      </c>
      <c r="AJ9" s="11">
        <f t="shared" ref="AJ9:AJ15" si="1">SUM(B9:AI9)</f>
        <v>10380889.26</v>
      </c>
    </row>
    <row r="10" spans="1:36" x14ac:dyDescent="0.25">
      <c r="A10" s="3" t="s">
        <v>283</v>
      </c>
      <c r="B10" s="11">
        <v>18155</v>
      </c>
      <c r="C10" s="11"/>
      <c r="D10" s="11"/>
      <c r="E10" s="11"/>
      <c r="F10" s="11">
        <v>311549</v>
      </c>
      <c r="G10" s="11">
        <v>13119</v>
      </c>
      <c r="H10" s="11">
        <v>10189</v>
      </c>
      <c r="I10" s="11">
        <v>4136</v>
      </c>
      <c r="J10" s="11">
        <v>514</v>
      </c>
      <c r="K10" s="11">
        <v>20787</v>
      </c>
      <c r="L10" s="11">
        <v>159298.16</v>
      </c>
      <c r="M10" s="11">
        <v>6519</v>
      </c>
      <c r="N10" s="11">
        <v>8826</v>
      </c>
      <c r="O10" s="11">
        <v>23454</v>
      </c>
      <c r="P10" s="11">
        <v>331640</v>
      </c>
      <c r="Q10" s="11">
        <v>6588</v>
      </c>
      <c r="R10" s="11">
        <v>17466</v>
      </c>
      <c r="S10" s="11">
        <v>1751</v>
      </c>
      <c r="T10" s="11">
        <v>6198</v>
      </c>
      <c r="U10" s="11">
        <v>2323</v>
      </c>
      <c r="V10" s="11">
        <v>8865</v>
      </c>
      <c r="W10" s="11">
        <v>1845067</v>
      </c>
      <c r="X10" s="11">
        <v>582124</v>
      </c>
      <c r="Y10" s="11">
        <v>1873</v>
      </c>
      <c r="Z10" s="11">
        <v>54077</v>
      </c>
      <c r="AA10" s="11">
        <v>4183</v>
      </c>
      <c r="AB10" s="11"/>
      <c r="AC10" s="11">
        <v>25451</v>
      </c>
      <c r="AD10" s="11">
        <v>92304</v>
      </c>
      <c r="AE10" s="11"/>
      <c r="AF10" s="11"/>
      <c r="AG10" s="11">
        <v>149170</v>
      </c>
      <c r="AH10" s="39">
        <v>335543</v>
      </c>
      <c r="AI10" s="11">
        <v>3000</v>
      </c>
      <c r="AJ10" s="11">
        <f t="shared" si="1"/>
        <v>4044169.16</v>
      </c>
    </row>
    <row r="11" spans="1:36" x14ac:dyDescent="0.25">
      <c r="A11" s="3" t="s">
        <v>284</v>
      </c>
      <c r="B11" s="11">
        <v>-850</v>
      </c>
      <c r="C11" s="11"/>
      <c r="D11" s="11"/>
      <c r="E11" s="11"/>
      <c r="F11" s="11">
        <v>-52353</v>
      </c>
      <c r="G11" s="11"/>
      <c r="H11" s="11"/>
      <c r="I11" s="11"/>
      <c r="J11" s="11"/>
      <c r="K11" s="11">
        <v>-285</v>
      </c>
      <c r="L11" s="11">
        <v>-30699.919999999998</v>
      </c>
      <c r="M11" s="11">
        <v>-698</v>
      </c>
      <c r="N11" s="11"/>
      <c r="O11" s="11"/>
      <c r="P11" s="11">
        <v>-3570</v>
      </c>
      <c r="Q11" s="11"/>
      <c r="R11" s="11">
        <v>-1559</v>
      </c>
      <c r="S11" s="11"/>
      <c r="T11" s="11"/>
      <c r="U11" s="11"/>
      <c r="V11" s="11"/>
      <c r="W11" s="11"/>
      <c r="X11" s="11"/>
      <c r="Y11" s="11">
        <v>-18</v>
      </c>
      <c r="Z11" s="11">
        <v>-5763</v>
      </c>
      <c r="AA11" s="11"/>
      <c r="AB11" s="11"/>
      <c r="AC11" s="11">
        <v>-10470</v>
      </c>
      <c r="AD11" s="11">
        <v>-14559</v>
      </c>
      <c r="AE11" s="11"/>
      <c r="AF11" s="11"/>
      <c r="AG11" s="11">
        <v>-25264</v>
      </c>
      <c r="AH11" s="11"/>
      <c r="AI11" s="11">
        <v>-42</v>
      </c>
      <c r="AJ11" s="11">
        <f t="shared" si="1"/>
        <v>-146130.91999999998</v>
      </c>
    </row>
    <row r="12" spans="1:36" ht="15" customHeight="1" x14ac:dyDescent="0.25">
      <c r="A12" s="3" t="s">
        <v>285</v>
      </c>
      <c r="B12" s="11"/>
      <c r="C12" s="11">
        <v>-877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>
        <v>15662</v>
      </c>
      <c r="AH12" s="11"/>
      <c r="AI12" s="11"/>
      <c r="AJ12" s="11">
        <f t="shared" si="1"/>
        <v>14785</v>
      </c>
    </row>
    <row r="13" spans="1:36" x14ac:dyDescent="0.25">
      <c r="A13" s="11" t="s">
        <v>286</v>
      </c>
      <c r="B13" s="11"/>
      <c r="C13" s="11"/>
      <c r="D13" s="11">
        <v>24374</v>
      </c>
      <c r="E13" s="11">
        <v>-947</v>
      </c>
      <c r="F13" s="11">
        <v>4113</v>
      </c>
      <c r="G13" s="11">
        <v>-931</v>
      </c>
      <c r="H13" s="11"/>
      <c r="I13" s="11"/>
      <c r="J13" s="11"/>
      <c r="K13" s="11">
        <v>172</v>
      </c>
      <c r="L13" s="11"/>
      <c r="M13" s="11"/>
      <c r="N13" s="11"/>
      <c r="O13" s="11"/>
      <c r="P13" s="11"/>
      <c r="Q13" s="11"/>
      <c r="R13" s="11"/>
      <c r="S13" s="11"/>
      <c r="T13" s="11"/>
      <c r="U13" s="11">
        <v>440</v>
      </c>
      <c r="V13" s="11"/>
      <c r="W13" s="11"/>
      <c r="X13" s="11"/>
      <c r="Y13" s="11"/>
      <c r="Z13" s="11"/>
      <c r="AA13" s="11"/>
      <c r="AB13" s="11"/>
      <c r="AC13" s="11"/>
      <c r="AD13" s="11"/>
      <c r="AE13" s="11">
        <v>-8482</v>
      </c>
      <c r="AF13" s="11"/>
      <c r="AG13" s="11"/>
      <c r="AH13" s="11"/>
      <c r="AI13" s="11">
        <v>-1688</v>
      </c>
      <c r="AJ13" s="11">
        <f t="shared" si="1"/>
        <v>17051</v>
      </c>
    </row>
    <row r="14" spans="1:36" x14ac:dyDescent="0.25">
      <c r="A14" s="4" t="s">
        <v>287</v>
      </c>
      <c r="B14" s="11">
        <f>B15-B13-B12-B11-B10-B9-B7-B6-B5</f>
        <v>0</v>
      </c>
      <c r="C14" s="11">
        <f t="shared" ref="C14:AI14" si="2">C15-C13-C12-C11-C10-C9-C7-C6-C5</f>
        <v>0</v>
      </c>
      <c r="D14" s="11">
        <f t="shared" si="2"/>
        <v>44989</v>
      </c>
      <c r="E14" s="11">
        <f t="shared" si="2"/>
        <v>800</v>
      </c>
      <c r="F14" s="11">
        <f t="shared" si="2"/>
        <v>82187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117</v>
      </c>
      <c r="K14" s="11">
        <f t="shared" si="2"/>
        <v>0</v>
      </c>
      <c r="L14" s="11">
        <f t="shared" si="2"/>
        <v>9083.7399999997579</v>
      </c>
      <c r="M14" s="11">
        <f t="shared" si="2"/>
        <v>1</v>
      </c>
      <c r="N14" s="11">
        <f t="shared" si="2"/>
        <v>0</v>
      </c>
      <c r="O14" s="11">
        <f t="shared" si="2"/>
        <v>0</v>
      </c>
      <c r="P14" s="11">
        <f t="shared" si="2"/>
        <v>451</v>
      </c>
      <c r="Q14" s="11">
        <f t="shared" si="2"/>
        <v>6046</v>
      </c>
      <c r="R14" s="11">
        <f t="shared" si="2"/>
        <v>51</v>
      </c>
      <c r="S14" s="11">
        <f t="shared" si="2"/>
        <v>-1</v>
      </c>
      <c r="T14" s="11">
        <f t="shared" si="2"/>
        <v>0</v>
      </c>
      <c r="U14" s="11">
        <f t="shared" si="2"/>
        <v>2378</v>
      </c>
      <c r="V14" s="11">
        <f t="shared" si="2"/>
        <v>24204</v>
      </c>
      <c r="W14" s="11">
        <f t="shared" si="2"/>
        <v>49144</v>
      </c>
      <c r="X14" s="11">
        <f t="shared" si="2"/>
        <v>-35141</v>
      </c>
      <c r="Y14" s="11">
        <f t="shared" si="2"/>
        <v>1456</v>
      </c>
      <c r="Z14" s="11">
        <f t="shared" si="2"/>
        <v>4959</v>
      </c>
      <c r="AA14" s="11">
        <f t="shared" si="2"/>
        <v>0</v>
      </c>
      <c r="AB14" s="11">
        <f t="shared" si="2"/>
        <v>0</v>
      </c>
      <c r="AC14" s="11">
        <f t="shared" si="2"/>
        <v>418</v>
      </c>
      <c r="AD14" s="11">
        <f t="shared" si="2"/>
        <v>891</v>
      </c>
      <c r="AE14" s="11">
        <f t="shared" si="2"/>
        <v>-1</v>
      </c>
      <c r="AF14" s="11">
        <f t="shared" si="2"/>
        <v>0</v>
      </c>
      <c r="AG14" s="11">
        <f t="shared" si="2"/>
        <v>634</v>
      </c>
      <c r="AH14" s="11">
        <f t="shared" si="2"/>
        <v>10443</v>
      </c>
      <c r="AI14" s="11">
        <f t="shared" si="2"/>
        <v>0</v>
      </c>
      <c r="AJ14" s="11">
        <f t="shared" si="1"/>
        <v>203109.73999999976</v>
      </c>
    </row>
    <row r="15" spans="1:36" s="9" customFormat="1" x14ac:dyDescent="0.25">
      <c r="A15" s="4" t="s">
        <v>40</v>
      </c>
      <c r="B15" s="12">
        <v>-474566</v>
      </c>
      <c r="C15" s="12">
        <v>-617807</v>
      </c>
      <c r="D15" s="12">
        <v>1869149</v>
      </c>
      <c r="E15" s="12">
        <v>-1029064</v>
      </c>
      <c r="F15" s="12">
        <v>4045032</v>
      </c>
      <c r="G15" s="12">
        <v>-442277</v>
      </c>
      <c r="H15" s="12">
        <v>362247</v>
      </c>
      <c r="I15" s="12">
        <v>127813</v>
      </c>
      <c r="J15" s="12">
        <v>28682</v>
      </c>
      <c r="K15" s="12">
        <v>-99415</v>
      </c>
      <c r="L15" s="12">
        <v>2629625.77</v>
      </c>
      <c r="M15" s="12">
        <v>242968</v>
      </c>
      <c r="N15" s="12">
        <v>-554196</v>
      </c>
      <c r="O15" s="12">
        <v>1257897</v>
      </c>
      <c r="P15" s="12">
        <v>5012537</v>
      </c>
      <c r="Q15" s="12">
        <v>243092</v>
      </c>
      <c r="R15" s="12">
        <v>-21882</v>
      </c>
      <c r="S15" s="12">
        <v>-224469</v>
      </c>
      <c r="T15" s="12">
        <v>-23296</v>
      </c>
      <c r="U15" s="12">
        <v>-425621</v>
      </c>
      <c r="V15" s="12">
        <v>436038.29873907822</v>
      </c>
      <c r="W15" s="12">
        <v>3891219</v>
      </c>
      <c r="X15" s="12">
        <v>-1407481</v>
      </c>
      <c r="Y15" s="12">
        <v>4890</v>
      </c>
      <c r="Z15" s="12">
        <v>804707</v>
      </c>
      <c r="AA15" s="12">
        <v>-187638</v>
      </c>
      <c r="AB15" s="12">
        <v>99660</v>
      </c>
      <c r="AC15" s="12">
        <v>152738</v>
      </c>
      <c r="AD15" s="12">
        <v>1249944</v>
      </c>
      <c r="AE15" s="12">
        <v>2261204</v>
      </c>
      <c r="AF15" s="12">
        <v>-625342</v>
      </c>
      <c r="AG15" s="12">
        <v>1483520</v>
      </c>
      <c r="AH15" s="12">
        <v>-2761828</v>
      </c>
      <c r="AI15" s="12">
        <v>250952</v>
      </c>
      <c r="AJ15" s="12">
        <f t="shared" si="1"/>
        <v>17559033.068739079</v>
      </c>
    </row>
    <row r="16" spans="1:36" x14ac:dyDescent="0.25">
      <c r="A16" s="4" t="s">
        <v>288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3" t="s">
        <v>289</v>
      </c>
      <c r="B17" s="11"/>
      <c r="C17" s="11">
        <v>7744</v>
      </c>
      <c r="D17" s="11"/>
      <c r="E17" s="11"/>
      <c r="F17" s="11">
        <v>742394</v>
      </c>
      <c r="G17" s="11"/>
      <c r="H17" s="11">
        <v>-48538</v>
      </c>
      <c r="I17" s="11"/>
      <c r="J17" s="11"/>
      <c r="K17" s="11">
        <v>37891</v>
      </c>
      <c r="L17" s="11"/>
      <c r="M17" s="11"/>
      <c r="N17" s="11"/>
      <c r="O17" s="11">
        <v>28920</v>
      </c>
      <c r="P17" s="11"/>
      <c r="Q17" s="11"/>
      <c r="R17" s="11"/>
      <c r="S17" s="11"/>
      <c r="T17" s="11"/>
      <c r="U17" s="11"/>
      <c r="V17" s="11">
        <v>3445</v>
      </c>
      <c r="W17" s="11">
        <v>-562</v>
      </c>
      <c r="X17" s="11"/>
      <c r="Y17" s="11">
        <v>29993</v>
      </c>
      <c r="Z17" s="11"/>
      <c r="AA17" s="11"/>
      <c r="AB17" s="11"/>
      <c r="AC17" s="11"/>
      <c r="AD17" s="11">
        <v>104183</v>
      </c>
      <c r="AE17" s="11"/>
      <c r="AF17" s="11"/>
      <c r="AG17" s="11"/>
      <c r="AH17" s="39">
        <v>46824</v>
      </c>
      <c r="AI17" s="11"/>
      <c r="AJ17" s="11">
        <f t="shared" ref="AJ17:AJ24" si="3">SUM(B17:AI17)</f>
        <v>952294</v>
      </c>
    </row>
    <row r="18" spans="1:36" x14ac:dyDescent="0.25">
      <c r="A18" s="3" t="s">
        <v>290</v>
      </c>
      <c r="B18" s="11"/>
      <c r="C18" s="11"/>
      <c r="D18" s="11"/>
      <c r="E18" s="11"/>
      <c r="F18" s="11">
        <v>4253</v>
      </c>
      <c r="G18" s="11"/>
      <c r="H18" s="11">
        <v>30880</v>
      </c>
      <c r="I18" s="11"/>
      <c r="J18" s="11"/>
      <c r="K18" s="11"/>
      <c r="L18" s="11"/>
      <c r="M18" s="11"/>
      <c r="N18" s="11"/>
      <c r="O18" s="11"/>
      <c r="P18" s="11">
        <v>86694</v>
      </c>
      <c r="Q18" s="11"/>
      <c r="R18" s="11"/>
      <c r="S18" s="11"/>
      <c r="T18" s="11"/>
      <c r="U18" s="11">
        <v>2065</v>
      </c>
      <c r="V18" s="11"/>
      <c r="W18" s="11">
        <v>53679</v>
      </c>
      <c r="X18" s="11"/>
      <c r="Y18" s="11"/>
      <c r="Z18" s="11">
        <v>146</v>
      </c>
      <c r="AA18" s="11"/>
      <c r="AB18" s="11"/>
      <c r="AC18" s="11">
        <v>5064</v>
      </c>
      <c r="AD18" s="11"/>
      <c r="AE18" s="11">
        <v>227</v>
      </c>
      <c r="AF18" s="11"/>
      <c r="AG18" s="11">
        <v>5744</v>
      </c>
      <c r="AH18" s="39">
        <v>1188</v>
      </c>
      <c r="AI18" s="11"/>
      <c r="AJ18" s="11">
        <f t="shared" si="3"/>
        <v>189940</v>
      </c>
    </row>
    <row r="19" spans="1:36" x14ac:dyDescent="0.25">
      <c r="A19" s="3" t="s">
        <v>65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v>12367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>
        <f t="shared" si="3"/>
        <v>12367</v>
      </c>
    </row>
    <row r="20" spans="1:36" x14ac:dyDescent="0.25">
      <c r="A20" s="4" t="s">
        <v>291</v>
      </c>
      <c r="B20" s="11">
        <f>B21-B19-B18-B17</f>
        <v>8149</v>
      </c>
      <c r="C20" s="11">
        <f t="shared" ref="C20:AI20" si="4">C21-C19-C18-C17</f>
        <v>6918</v>
      </c>
      <c r="D20" s="11">
        <f t="shared" si="4"/>
        <v>14257</v>
      </c>
      <c r="E20" s="11">
        <f t="shared" si="4"/>
        <v>48797</v>
      </c>
      <c r="F20" s="11">
        <f t="shared" si="4"/>
        <v>106147</v>
      </c>
      <c r="G20" s="11">
        <f t="shared" si="4"/>
        <v>62355</v>
      </c>
      <c r="H20" s="11">
        <f t="shared" si="4"/>
        <v>52905</v>
      </c>
      <c r="I20" s="11">
        <f t="shared" si="4"/>
        <v>467032</v>
      </c>
      <c r="J20" s="11">
        <f t="shared" si="4"/>
        <v>13386</v>
      </c>
      <c r="K20" s="11">
        <f t="shared" si="4"/>
        <v>2538</v>
      </c>
      <c r="L20" s="11">
        <f t="shared" si="4"/>
        <v>23200.09</v>
      </c>
      <c r="M20" s="11">
        <f t="shared" si="4"/>
        <v>11036</v>
      </c>
      <c r="N20" s="11">
        <f t="shared" si="4"/>
        <v>3934</v>
      </c>
      <c r="O20" s="11">
        <f t="shared" si="4"/>
        <v>86163</v>
      </c>
      <c r="P20" s="11">
        <f t="shared" si="4"/>
        <v>173120</v>
      </c>
      <c r="Q20" s="11">
        <f t="shared" si="4"/>
        <v>0</v>
      </c>
      <c r="R20" s="11">
        <f t="shared" si="4"/>
        <v>0</v>
      </c>
      <c r="S20" s="11">
        <f t="shared" si="4"/>
        <v>207973</v>
      </c>
      <c r="T20" s="11">
        <f t="shared" si="4"/>
        <v>30920</v>
      </c>
      <c r="U20" s="11">
        <f t="shared" si="4"/>
        <v>330204</v>
      </c>
      <c r="V20" s="11">
        <f t="shared" si="4"/>
        <v>187021</v>
      </c>
      <c r="W20" s="11">
        <f t="shared" si="4"/>
        <v>798349</v>
      </c>
      <c r="X20" s="11">
        <f t="shared" si="4"/>
        <v>4323</v>
      </c>
      <c r="Y20" s="11">
        <f t="shared" si="4"/>
        <v>103157</v>
      </c>
      <c r="Z20" s="11">
        <f t="shared" si="4"/>
        <v>82507</v>
      </c>
      <c r="AA20" s="11">
        <f t="shared" si="4"/>
        <v>3521</v>
      </c>
      <c r="AB20" s="11">
        <f t="shared" si="4"/>
        <v>12274</v>
      </c>
      <c r="AC20" s="11">
        <f t="shared" si="4"/>
        <v>37825</v>
      </c>
      <c r="AD20" s="11">
        <f t="shared" si="4"/>
        <v>18620</v>
      </c>
      <c r="AE20" s="11">
        <f t="shared" si="4"/>
        <v>1276</v>
      </c>
      <c r="AF20" s="11">
        <f t="shared" si="4"/>
        <v>72613</v>
      </c>
      <c r="AG20" s="11">
        <f t="shared" si="4"/>
        <v>54817</v>
      </c>
      <c r="AH20" s="11">
        <f t="shared" si="4"/>
        <v>193847</v>
      </c>
      <c r="AI20" s="11">
        <f t="shared" si="4"/>
        <v>5627</v>
      </c>
      <c r="AJ20" s="11">
        <f t="shared" si="3"/>
        <v>3224811.09</v>
      </c>
    </row>
    <row r="21" spans="1:36" s="9" customFormat="1" x14ac:dyDescent="0.25">
      <c r="A21" s="4" t="s">
        <v>44</v>
      </c>
      <c r="B21" s="12">
        <v>8149</v>
      </c>
      <c r="C21" s="12">
        <v>14662</v>
      </c>
      <c r="D21" s="12">
        <v>14257</v>
      </c>
      <c r="E21" s="12">
        <v>48797</v>
      </c>
      <c r="F21" s="12">
        <v>852794</v>
      </c>
      <c r="G21" s="12">
        <v>62355</v>
      </c>
      <c r="H21" s="12">
        <v>35247</v>
      </c>
      <c r="I21" s="12">
        <v>467032</v>
      </c>
      <c r="J21" s="12">
        <v>13386</v>
      </c>
      <c r="K21" s="12">
        <v>40429</v>
      </c>
      <c r="L21" s="12">
        <v>23200.09</v>
      </c>
      <c r="M21" s="12">
        <v>11036</v>
      </c>
      <c r="N21" s="12">
        <v>3934</v>
      </c>
      <c r="O21" s="12">
        <v>115083</v>
      </c>
      <c r="P21" s="12">
        <v>259814</v>
      </c>
      <c r="Q21" s="12"/>
      <c r="R21" s="12"/>
      <c r="S21" s="12">
        <v>207973</v>
      </c>
      <c r="T21" s="12">
        <v>30920</v>
      </c>
      <c r="U21" s="12">
        <v>332269</v>
      </c>
      <c r="V21" s="12">
        <v>190466</v>
      </c>
      <c r="W21" s="12">
        <v>851466</v>
      </c>
      <c r="X21" s="12">
        <v>16690</v>
      </c>
      <c r="Y21" s="12">
        <v>133150</v>
      </c>
      <c r="Z21" s="12">
        <v>82653</v>
      </c>
      <c r="AA21" s="12">
        <v>3521</v>
      </c>
      <c r="AB21" s="12">
        <v>12274</v>
      </c>
      <c r="AC21" s="12">
        <v>42889</v>
      </c>
      <c r="AD21" s="12">
        <v>122803</v>
      </c>
      <c r="AE21" s="12">
        <v>1503</v>
      </c>
      <c r="AF21" s="12">
        <v>72613</v>
      </c>
      <c r="AG21" s="12">
        <v>60561</v>
      </c>
      <c r="AH21" s="12">
        <v>241859</v>
      </c>
      <c r="AI21" s="12">
        <v>5627</v>
      </c>
      <c r="AJ21" s="12">
        <f t="shared" si="3"/>
        <v>4379412.09</v>
      </c>
    </row>
    <row r="22" spans="1:36" s="9" customFormat="1" x14ac:dyDescent="0.25">
      <c r="A22" s="4" t="s">
        <v>292</v>
      </c>
      <c r="B22" s="12">
        <f>B15-B21</f>
        <v>-482715</v>
      </c>
      <c r="C22" s="12">
        <f t="shared" ref="C22:AI22" si="5">C15-C21</f>
        <v>-632469</v>
      </c>
      <c r="D22" s="12">
        <f t="shared" si="5"/>
        <v>1854892</v>
      </c>
      <c r="E22" s="12">
        <f t="shared" si="5"/>
        <v>-1077861</v>
      </c>
      <c r="F22" s="12">
        <f t="shared" si="5"/>
        <v>3192238</v>
      </c>
      <c r="G22" s="12">
        <f t="shared" si="5"/>
        <v>-504632</v>
      </c>
      <c r="H22" s="12">
        <f t="shared" si="5"/>
        <v>327000</v>
      </c>
      <c r="I22" s="12">
        <f t="shared" si="5"/>
        <v>-339219</v>
      </c>
      <c r="J22" s="12">
        <f t="shared" si="5"/>
        <v>15296</v>
      </c>
      <c r="K22" s="12">
        <f t="shared" si="5"/>
        <v>-139844</v>
      </c>
      <c r="L22" s="12">
        <f t="shared" si="5"/>
        <v>2606425.6800000002</v>
      </c>
      <c r="M22" s="12">
        <f t="shared" si="5"/>
        <v>231932</v>
      </c>
      <c r="N22" s="12">
        <f t="shared" si="5"/>
        <v>-558130</v>
      </c>
      <c r="O22" s="12">
        <f t="shared" si="5"/>
        <v>1142814</v>
      </c>
      <c r="P22" s="12">
        <f t="shared" si="5"/>
        <v>4752723</v>
      </c>
      <c r="Q22" s="12">
        <f t="shared" si="5"/>
        <v>243092</v>
      </c>
      <c r="R22" s="12">
        <f t="shared" si="5"/>
        <v>-21882</v>
      </c>
      <c r="S22" s="12">
        <f t="shared" si="5"/>
        <v>-432442</v>
      </c>
      <c r="T22" s="12">
        <f t="shared" si="5"/>
        <v>-54216</v>
      </c>
      <c r="U22" s="12">
        <f t="shared" si="5"/>
        <v>-757890</v>
      </c>
      <c r="V22" s="12">
        <f t="shared" si="5"/>
        <v>245572.29873907822</v>
      </c>
      <c r="W22" s="12">
        <f t="shared" si="5"/>
        <v>3039753</v>
      </c>
      <c r="X22" s="12">
        <f t="shared" si="5"/>
        <v>-1424171</v>
      </c>
      <c r="Y22" s="12">
        <f t="shared" si="5"/>
        <v>-128260</v>
      </c>
      <c r="Z22" s="12">
        <f t="shared" si="5"/>
        <v>722054</v>
      </c>
      <c r="AA22" s="12">
        <f t="shared" si="5"/>
        <v>-191159</v>
      </c>
      <c r="AB22" s="12">
        <f t="shared" si="5"/>
        <v>87386</v>
      </c>
      <c r="AC22" s="12">
        <f t="shared" si="5"/>
        <v>109849</v>
      </c>
      <c r="AD22" s="12">
        <f t="shared" si="5"/>
        <v>1127141</v>
      </c>
      <c r="AE22" s="12">
        <f t="shared" si="5"/>
        <v>2259701</v>
      </c>
      <c r="AF22" s="12">
        <f t="shared" si="5"/>
        <v>-697955</v>
      </c>
      <c r="AG22" s="12">
        <f t="shared" si="5"/>
        <v>1422959</v>
      </c>
      <c r="AH22" s="12">
        <f t="shared" si="5"/>
        <v>-3003687</v>
      </c>
      <c r="AI22" s="12">
        <f t="shared" si="5"/>
        <v>245325</v>
      </c>
      <c r="AJ22" s="12">
        <f t="shared" si="3"/>
        <v>13179620.978739077</v>
      </c>
    </row>
    <row r="23" spans="1:36" x14ac:dyDescent="0.25">
      <c r="A23" s="3" t="s">
        <v>295</v>
      </c>
      <c r="B23" s="11"/>
      <c r="C23" s="11"/>
      <c r="D23" s="11">
        <v>648173</v>
      </c>
      <c r="E23" s="11"/>
      <c r="F23" s="11">
        <v>1087763</v>
      </c>
      <c r="G23" s="11"/>
      <c r="H23" s="11">
        <v>95975</v>
      </c>
      <c r="I23" s="11"/>
      <c r="J23" s="11"/>
      <c r="K23" s="11"/>
      <c r="L23" s="11">
        <v>700000</v>
      </c>
      <c r="M23" s="11"/>
      <c r="N23" s="11"/>
      <c r="O23" s="11">
        <f>4669+386870</f>
        <v>391539</v>
      </c>
      <c r="P23" s="11">
        <f>2414121-759565</f>
        <v>1654556</v>
      </c>
      <c r="Q23" s="11"/>
      <c r="R23" s="11"/>
      <c r="S23" s="11"/>
      <c r="T23" s="11">
        <v>-1</v>
      </c>
      <c r="U23" s="11"/>
      <c r="V23" s="11"/>
      <c r="W23" s="11">
        <f>305099-46434</f>
        <v>258665</v>
      </c>
      <c r="X23" s="11"/>
      <c r="Y23" s="11">
        <v>-12717</v>
      </c>
      <c r="Z23" s="11">
        <f>159771-77079</f>
        <v>82692</v>
      </c>
      <c r="AA23" s="11">
        <v>-1</v>
      </c>
      <c r="AB23" s="11"/>
      <c r="AC23" s="11">
        <v>36091</v>
      </c>
      <c r="AD23" s="11">
        <f>451800-75100</f>
        <v>376700</v>
      </c>
      <c r="AE23" s="11">
        <v>730888</v>
      </c>
      <c r="AF23" s="11"/>
      <c r="AG23" s="11">
        <f>281752+113632</f>
        <v>395384</v>
      </c>
      <c r="AH23" s="11"/>
      <c r="AI23" s="11">
        <f>85570-14175</f>
        <v>71395</v>
      </c>
      <c r="AJ23" s="11">
        <f t="shared" si="3"/>
        <v>6517102</v>
      </c>
    </row>
    <row r="24" spans="1:36" s="9" customFormat="1" x14ac:dyDescent="0.25">
      <c r="A24" s="4" t="s">
        <v>293</v>
      </c>
      <c r="B24" s="12">
        <f>B22-B23</f>
        <v>-482715</v>
      </c>
      <c r="C24" s="12">
        <f t="shared" ref="C24:AI24" si="6">C22-C23</f>
        <v>-632469</v>
      </c>
      <c r="D24" s="12">
        <f t="shared" si="6"/>
        <v>1206719</v>
      </c>
      <c r="E24" s="12">
        <f t="shared" si="6"/>
        <v>-1077861</v>
      </c>
      <c r="F24" s="12">
        <f t="shared" si="6"/>
        <v>2104475</v>
      </c>
      <c r="G24" s="12">
        <f t="shared" si="6"/>
        <v>-504632</v>
      </c>
      <c r="H24" s="12">
        <f t="shared" si="6"/>
        <v>231025</v>
      </c>
      <c r="I24" s="12">
        <f t="shared" si="6"/>
        <v>-339219</v>
      </c>
      <c r="J24" s="12">
        <f t="shared" si="6"/>
        <v>15296</v>
      </c>
      <c r="K24" s="12">
        <f t="shared" si="6"/>
        <v>-139844</v>
      </c>
      <c r="L24" s="12">
        <f t="shared" si="6"/>
        <v>1906425.6800000002</v>
      </c>
      <c r="M24" s="12">
        <f t="shared" si="6"/>
        <v>231932</v>
      </c>
      <c r="N24" s="12">
        <f t="shared" si="6"/>
        <v>-558130</v>
      </c>
      <c r="O24" s="12">
        <f t="shared" si="6"/>
        <v>751275</v>
      </c>
      <c r="P24" s="12">
        <f t="shared" si="6"/>
        <v>3098167</v>
      </c>
      <c r="Q24" s="12">
        <f t="shared" si="6"/>
        <v>243092</v>
      </c>
      <c r="R24" s="12">
        <f t="shared" si="6"/>
        <v>-21882</v>
      </c>
      <c r="S24" s="12">
        <f t="shared" si="6"/>
        <v>-432442</v>
      </c>
      <c r="T24" s="12">
        <f t="shared" si="6"/>
        <v>-54215</v>
      </c>
      <c r="U24" s="12">
        <f t="shared" si="6"/>
        <v>-757890</v>
      </c>
      <c r="V24" s="12">
        <f t="shared" si="6"/>
        <v>245572.29873907822</v>
      </c>
      <c r="W24" s="12">
        <f t="shared" si="6"/>
        <v>2781088</v>
      </c>
      <c r="X24" s="12">
        <f t="shared" si="6"/>
        <v>-1424171</v>
      </c>
      <c r="Y24" s="12">
        <f t="shared" si="6"/>
        <v>-115543</v>
      </c>
      <c r="Z24" s="12">
        <f t="shared" si="6"/>
        <v>639362</v>
      </c>
      <c r="AA24" s="12">
        <f t="shared" si="6"/>
        <v>-191158</v>
      </c>
      <c r="AB24" s="12">
        <f t="shared" si="6"/>
        <v>87386</v>
      </c>
      <c r="AC24" s="12">
        <f t="shared" si="6"/>
        <v>73758</v>
      </c>
      <c r="AD24" s="12">
        <f t="shared" si="6"/>
        <v>750441</v>
      </c>
      <c r="AE24" s="12">
        <f t="shared" si="6"/>
        <v>1528813</v>
      </c>
      <c r="AF24" s="12">
        <f t="shared" si="6"/>
        <v>-697955</v>
      </c>
      <c r="AG24" s="12">
        <f t="shared" si="6"/>
        <v>1027575</v>
      </c>
      <c r="AH24" s="12">
        <f t="shared" si="6"/>
        <v>-3003687</v>
      </c>
      <c r="AI24" s="12">
        <f t="shared" si="6"/>
        <v>173930</v>
      </c>
      <c r="AJ24" s="12">
        <f t="shared" si="3"/>
        <v>6662518.9787390791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276</v>
      </c>
    </row>
    <row r="2" spans="1:36" x14ac:dyDescent="0.25">
      <c r="A2" s="19" t="s">
        <v>48</v>
      </c>
    </row>
    <row r="3" spans="1:36" x14ac:dyDescent="0.25">
      <c r="A3" s="1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3" t="s">
        <v>8</v>
      </c>
      <c r="J3" s="43" t="s">
        <v>9</v>
      </c>
      <c r="K3" s="43" t="s">
        <v>10</v>
      </c>
      <c r="L3" s="43" t="s">
        <v>11</v>
      </c>
      <c r="M3" s="43" t="s">
        <v>12</v>
      </c>
      <c r="N3" s="43" t="s">
        <v>13</v>
      </c>
      <c r="O3" s="43" t="s">
        <v>14</v>
      </c>
      <c r="P3" s="43" t="s">
        <v>15</v>
      </c>
      <c r="Q3" s="43" t="s">
        <v>16</v>
      </c>
      <c r="R3" s="43" t="s">
        <v>17</v>
      </c>
      <c r="S3" s="43" t="s">
        <v>18</v>
      </c>
      <c r="T3" s="43" t="s">
        <v>19</v>
      </c>
      <c r="U3" s="43" t="s">
        <v>20</v>
      </c>
      <c r="V3" s="43" t="s">
        <v>21</v>
      </c>
      <c r="W3" s="43" t="s">
        <v>22</v>
      </c>
      <c r="X3" s="43" t="s">
        <v>23</v>
      </c>
      <c r="Y3" s="43" t="s">
        <v>24</v>
      </c>
      <c r="Z3" s="43" t="s">
        <v>25</v>
      </c>
      <c r="AA3" s="43" t="s">
        <v>26</v>
      </c>
      <c r="AB3" s="43" t="s">
        <v>27</v>
      </c>
      <c r="AC3" s="43" t="s">
        <v>28</v>
      </c>
      <c r="AD3" s="43" t="s">
        <v>29</v>
      </c>
      <c r="AE3" s="43" t="s">
        <v>30</v>
      </c>
      <c r="AF3" s="43" t="s">
        <v>31</v>
      </c>
      <c r="AG3" s="43" t="s">
        <v>32</v>
      </c>
      <c r="AH3" s="44" t="s">
        <v>33</v>
      </c>
      <c r="AI3" s="43" t="s">
        <v>34</v>
      </c>
      <c r="AJ3" s="43" t="s">
        <v>35</v>
      </c>
    </row>
    <row r="4" spans="1:36" x14ac:dyDescent="0.25">
      <c r="A4" s="4" t="s">
        <v>255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</row>
    <row r="5" spans="1:36" x14ac:dyDescent="0.25">
      <c r="A5" s="29" t="s">
        <v>256</v>
      </c>
      <c r="B5" s="11">
        <v>3810000</v>
      </c>
      <c r="C5" s="11">
        <v>2339778</v>
      </c>
      <c r="D5" s="11">
        <v>2000000</v>
      </c>
      <c r="E5" s="11">
        <v>3721628</v>
      </c>
      <c r="F5" s="11">
        <v>1102273</v>
      </c>
      <c r="G5" s="11">
        <v>17209812</v>
      </c>
      <c r="H5" s="11">
        <v>2988057</v>
      </c>
      <c r="I5" s="11">
        <v>5908630</v>
      </c>
      <c r="J5" s="11">
        <v>1900500</v>
      </c>
      <c r="K5" s="11">
        <v>2080000</v>
      </c>
      <c r="L5" s="11">
        <v>20000000</v>
      </c>
      <c r="M5" s="11">
        <v>8598037</v>
      </c>
      <c r="N5" s="11">
        <v>7295652</v>
      </c>
      <c r="O5" s="11">
        <v>6054221</v>
      </c>
      <c r="P5" s="11">
        <v>4544104</v>
      </c>
      <c r="Q5" s="11">
        <v>2742183</v>
      </c>
      <c r="R5" s="11">
        <v>2600000</v>
      </c>
      <c r="S5" s="11">
        <v>10852250</v>
      </c>
      <c r="T5" s="11">
        <v>1437500</v>
      </c>
      <c r="U5" s="11">
        <v>9810000</v>
      </c>
      <c r="V5" s="11">
        <v>1000000</v>
      </c>
      <c r="W5" s="11">
        <v>8240000</v>
      </c>
      <c r="X5" s="11">
        <v>2000000</v>
      </c>
      <c r="Y5" s="11">
        <v>2070000</v>
      </c>
      <c r="Z5" s="11">
        <v>2515499</v>
      </c>
      <c r="AA5" s="11">
        <v>1865500</v>
      </c>
      <c r="AB5" s="11">
        <v>6968343</v>
      </c>
      <c r="AC5" s="11">
        <v>4490000</v>
      </c>
      <c r="AD5" s="11">
        <v>2155000</v>
      </c>
      <c r="AE5" s="11">
        <v>2590769</v>
      </c>
      <c r="AF5" s="11">
        <v>4801065</v>
      </c>
      <c r="AG5" s="11">
        <v>9944560</v>
      </c>
      <c r="AH5" s="11">
        <v>1500000</v>
      </c>
      <c r="AI5" s="11">
        <v>3681818</v>
      </c>
      <c r="AJ5" s="12">
        <f>SUM(B5:AI5)</f>
        <v>170817179</v>
      </c>
    </row>
    <row r="6" spans="1:36" x14ac:dyDescent="0.25">
      <c r="A6" s="29" t="s">
        <v>257</v>
      </c>
      <c r="B6" s="11"/>
      <c r="C6" s="11">
        <v>5610222</v>
      </c>
      <c r="D6" s="11">
        <v>38877672</v>
      </c>
      <c r="E6" s="11">
        <v>3498392</v>
      </c>
      <c r="F6" s="11">
        <v>51859820</v>
      </c>
      <c r="G6" s="11">
        <v>1720185</v>
      </c>
      <c r="H6" s="11">
        <v>11777504</v>
      </c>
      <c r="I6" s="11">
        <v>3271040</v>
      </c>
      <c r="J6" s="11"/>
      <c r="K6" s="11"/>
      <c r="L6" s="11">
        <v>26540540.34</v>
      </c>
      <c r="M6" s="11"/>
      <c r="N6" s="11">
        <v>2634485</v>
      </c>
      <c r="O6" s="11">
        <v>14520939</v>
      </c>
      <c r="P6" s="11">
        <v>49852253</v>
      </c>
      <c r="Q6" s="11">
        <v>19966883</v>
      </c>
      <c r="R6" s="11"/>
      <c r="S6" s="11">
        <v>3491250</v>
      </c>
      <c r="T6" s="11">
        <v>2381367</v>
      </c>
      <c r="U6" s="11"/>
      <c r="V6" s="11">
        <v>948022</v>
      </c>
      <c r="W6" s="11">
        <v>155420856</v>
      </c>
      <c r="X6" s="11">
        <v>25206108</v>
      </c>
      <c r="Y6" s="11"/>
      <c r="Z6" s="11">
        <v>14143610</v>
      </c>
      <c r="AA6" s="11"/>
      <c r="AB6" s="11">
        <v>408113</v>
      </c>
      <c r="AC6" s="11">
        <v>7041041</v>
      </c>
      <c r="AD6" s="11">
        <v>16618717</v>
      </c>
      <c r="AE6" s="11">
        <v>14898035</v>
      </c>
      <c r="AF6" s="11">
        <v>9425567</v>
      </c>
      <c r="AG6" s="11">
        <v>13102916</v>
      </c>
      <c r="AH6" s="11">
        <v>24937909</v>
      </c>
      <c r="AI6" s="11">
        <v>5348622</v>
      </c>
      <c r="AJ6" s="12">
        <f t="shared" ref="AJ6:AJ10" si="0">SUM(B6:AI6)</f>
        <v>523502068.34000003</v>
      </c>
    </row>
    <row r="7" spans="1:36" x14ac:dyDescent="0.25">
      <c r="A7" s="29" t="s">
        <v>258</v>
      </c>
      <c r="B7" s="11">
        <v>110</v>
      </c>
      <c r="C7" s="11">
        <v>314</v>
      </c>
      <c r="D7" s="11">
        <v>122467</v>
      </c>
      <c r="E7" s="11">
        <v>274</v>
      </c>
      <c r="F7" s="11">
        <v>747475</v>
      </c>
      <c r="G7" s="11">
        <f>11266+1912</f>
        <v>13178</v>
      </c>
      <c r="H7" s="11">
        <f>13360+139541</f>
        <v>152901</v>
      </c>
      <c r="I7" s="11">
        <v>336</v>
      </c>
      <c r="J7" s="11"/>
      <c r="K7" s="11">
        <v>223</v>
      </c>
      <c r="L7" s="11">
        <v>3085890.67</v>
      </c>
      <c r="M7" s="11">
        <v>-57324</v>
      </c>
      <c r="N7" s="11">
        <v>11570</v>
      </c>
      <c r="O7" s="11">
        <f>-42095-167055</f>
        <v>-209150</v>
      </c>
      <c r="P7" s="11">
        <f>527137+1776142</f>
        <v>2303279</v>
      </c>
      <c r="Q7" s="11">
        <f>-5207-1474</f>
        <v>-6681</v>
      </c>
      <c r="R7" s="11">
        <f>5232+2139</f>
        <v>7371</v>
      </c>
      <c r="S7" s="11">
        <f>2355+674</f>
        <v>3029</v>
      </c>
      <c r="T7" s="11">
        <f>61+413</f>
        <v>474</v>
      </c>
      <c r="U7" s="11">
        <f>436+872</f>
        <v>1308</v>
      </c>
      <c r="V7" s="11">
        <f>1754877+20929033</f>
        <v>22683910</v>
      </c>
      <c r="W7" s="11">
        <v>212767354</v>
      </c>
      <c r="X7" s="11">
        <v>68693817</v>
      </c>
      <c r="Y7" s="11">
        <f>1655+1158</f>
        <v>2813</v>
      </c>
      <c r="Z7" s="11">
        <f>-74841-400739</f>
        <v>-475580</v>
      </c>
      <c r="AA7" s="11"/>
      <c r="AB7" s="11">
        <v>-18111</v>
      </c>
      <c r="AC7" s="11">
        <f>-60851-15048</f>
        <v>-75899</v>
      </c>
      <c r="AD7" s="11">
        <f>2811-22428</f>
        <v>-19617</v>
      </c>
      <c r="AE7" s="11">
        <f>551-42888</f>
        <v>-42337</v>
      </c>
      <c r="AF7" s="11">
        <v>2619</v>
      </c>
      <c r="AG7" s="11">
        <f>115325+28536</f>
        <v>143861</v>
      </c>
      <c r="AH7" s="11">
        <f>27211995+3144983</f>
        <v>30356978</v>
      </c>
      <c r="AI7" s="11">
        <f>12052+6514</f>
        <v>18566</v>
      </c>
      <c r="AJ7" s="12">
        <f t="shared" si="0"/>
        <v>340215418.67000002</v>
      </c>
    </row>
    <row r="8" spans="1:36" x14ac:dyDescent="0.25">
      <c r="A8" s="29" t="s">
        <v>259</v>
      </c>
      <c r="B8" s="11"/>
      <c r="C8" s="11"/>
      <c r="D8" s="11"/>
      <c r="E8" s="11">
        <v>1540000</v>
      </c>
      <c r="F8" s="11"/>
      <c r="G8" s="11">
        <v>2550000</v>
      </c>
      <c r="H8" s="11">
        <v>1000000</v>
      </c>
      <c r="I8" s="11">
        <v>430000</v>
      </c>
      <c r="J8" s="11"/>
      <c r="K8" s="11"/>
      <c r="L8" s="11"/>
      <c r="M8" s="11">
        <v>-10787</v>
      </c>
      <c r="N8" s="11"/>
      <c r="O8" s="11">
        <v>3500000</v>
      </c>
      <c r="P8" s="11">
        <v>4850000</v>
      </c>
      <c r="Q8" s="11"/>
      <c r="R8" s="11"/>
      <c r="S8" s="11"/>
      <c r="T8" s="11">
        <v>6789</v>
      </c>
      <c r="U8" s="11"/>
      <c r="V8" s="11">
        <v>8950000</v>
      </c>
      <c r="W8" s="11"/>
      <c r="X8" s="11">
        <v>7500000</v>
      </c>
      <c r="Y8" s="11"/>
      <c r="Z8" s="11">
        <v>2300000</v>
      </c>
      <c r="AA8" s="11"/>
      <c r="AB8" s="11"/>
      <c r="AC8" s="11">
        <v>1000000</v>
      </c>
      <c r="AD8" s="11"/>
      <c r="AE8" s="11"/>
      <c r="AF8" s="11">
        <v>2500000</v>
      </c>
      <c r="AG8" s="11">
        <v>1780000</v>
      </c>
      <c r="AH8" s="11">
        <v>9000000</v>
      </c>
      <c r="AI8" s="11"/>
      <c r="AJ8" s="12">
        <f t="shared" si="0"/>
        <v>46896002</v>
      </c>
    </row>
    <row r="9" spans="1:36" x14ac:dyDescent="0.25">
      <c r="A9" s="29" t="s">
        <v>46</v>
      </c>
      <c r="B9" s="11">
        <f>B10-B8-B7-B6-B5</f>
        <v>0</v>
      </c>
      <c r="C9" s="11">
        <f t="shared" ref="C9:AI9" si="1">C10-C8-C7-C6-C5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2367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3891699.9999999963</v>
      </c>
      <c r="M9" s="11">
        <f t="shared" si="1"/>
        <v>24223</v>
      </c>
      <c r="N9" s="11">
        <f t="shared" si="1"/>
        <v>1</v>
      </c>
      <c r="O9" s="11">
        <f t="shared" si="1"/>
        <v>0</v>
      </c>
      <c r="P9" s="11">
        <f t="shared" si="1"/>
        <v>360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20763</v>
      </c>
      <c r="U9" s="11">
        <f t="shared" si="1"/>
        <v>650000</v>
      </c>
      <c r="V9" s="11">
        <f t="shared" si="1"/>
        <v>0</v>
      </c>
      <c r="W9" s="11">
        <f t="shared" si="1"/>
        <v>-1</v>
      </c>
      <c r="X9" s="11">
        <f t="shared" si="1"/>
        <v>0</v>
      </c>
      <c r="Y9" s="11">
        <f t="shared" si="1"/>
        <v>1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566</v>
      </c>
      <c r="AF9" s="11">
        <f t="shared" si="1"/>
        <v>2441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2">
        <f t="shared" si="0"/>
        <v>4592420.9999999963</v>
      </c>
    </row>
    <row r="10" spans="1:36" s="9" customFormat="1" x14ac:dyDescent="0.25">
      <c r="A10" s="4" t="s">
        <v>57</v>
      </c>
      <c r="B10" s="12">
        <v>3810110</v>
      </c>
      <c r="C10" s="12">
        <v>7950314</v>
      </c>
      <c r="D10" s="12">
        <v>41000139</v>
      </c>
      <c r="E10" s="12">
        <v>8760294</v>
      </c>
      <c r="F10" s="12">
        <v>53709568</v>
      </c>
      <c r="G10" s="12">
        <v>21495542</v>
      </c>
      <c r="H10" s="12">
        <v>15918462</v>
      </c>
      <c r="I10" s="12">
        <v>9610006</v>
      </c>
      <c r="J10" s="12">
        <v>1900500</v>
      </c>
      <c r="K10" s="12">
        <v>2080223</v>
      </c>
      <c r="L10" s="12">
        <v>53518131.009999998</v>
      </c>
      <c r="M10" s="12">
        <v>8554149</v>
      </c>
      <c r="N10" s="12">
        <v>9941708</v>
      </c>
      <c r="O10" s="12">
        <v>23866010</v>
      </c>
      <c r="P10" s="12">
        <v>61549996</v>
      </c>
      <c r="Q10" s="12">
        <v>22702385</v>
      </c>
      <c r="R10" s="12">
        <v>2607371</v>
      </c>
      <c r="S10" s="12">
        <v>14346529</v>
      </c>
      <c r="T10" s="12">
        <v>3846893</v>
      </c>
      <c r="U10" s="12">
        <v>10461308</v>
      </c>
      <c r="V10" s="12">
        <v>33581932</v>
      </c>
      <c r="W10" s="12">
        <v>376428209</v>
      </c>
      <c r="X10" s="12">
        <v>103399925</v>
      </c>
      <c r="Y10" s="12">
        <v>2072814</v>
      </c>
      <c r="Z10" s="12">
        <v>18483529</v>
      </c>
      <c r="AA10" s="12">
        <v>1865500</v>
      </c>
      <c r="AB10" s="12">
        <v>7358345</v>
      </c>
      <c r="AC10" s="12">
        <v>12455142</v>
      </c>
      <c r="AD10" s="12">
        <v>18754100</v>
      </c>
      <c r="AE10" s="12">
        <v>17447033</v>
      </c>
      <c r="AF10" s="12">
        <v>16731692</v>
      </c>
      <c r="AG10" s="12">
        <v>24971337</v>
      </c>
      <c r="AH10" s="12">
        <v>65794887</v>
      </c>
      <c r="AI10" s="12">
        <v>9049006</v>
      </c>
      <c r="AJ10" s="12">
        <f t="shared" si="0"/>
        <v>1086023089.01</v>
      </c>
    </row>
    <row r="11" spans="1:36" s="9" customFormat="1" x14ac:dyDescent="0.25">
      <c r="A11" s="4" t="s">
        <v>260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x14ac:dyDescent="0.25">
      <c r="A12" s="29" t="s">
        <v>261</v>
      </c>
      <c r="B12" s="11">
        <v>1798196</v>
      </c>
      <c r="C12" s="11">
        <v>1702061</v>
      </c>
      <c r="D12" s="11"/>
      <c r="E12" s="11">
        <v>1200000</v>
      </c>
      <c r="F12" s="11"/>
      <c r="G12" s="11">
        <v>5924450</v>
      </c>
      <c r="H12" s="11">
        <v>6925180</v>
      </c>
      <c r="I12" s="11">
        <v>1658863</v>
      </c>
      <c r="J12" s="11">
        <v>462820</v>
      </c>
      <c r="K12" s="11">
        <v>1624145</v>
      </c>
      <c r="L12" s="11"/>
      <c r="M12" s="11"/>
      <c r="N12" s="11">
        <v>8242347</v>
      </c>
      <c r="O12" s="11">
        <v>19481470</v>
      </c>
      <c r="P12" s="11">
        <v>54717237</v>
      </c>
      <c r="Q12" s="11">
        <v>19943952</v>
      </c>
      <c r="R12" s="11">
        <v>1314977</v>
      </c>
      <c r="S12" s="11">
        <v>4332239</v>
      </c>
      <c r="T12" s="11">
        <v>2124029</v>
      </c>
      <c r="U12" s="11">
        <v>2836675</v>
      </c>
      <c r="V12" s="11">
        <v>18194358</v>
      </c>
      <c r="W12" s="11"/>
      <c r="X12" s="11"/>
      <c r="Y12" s="11">
        <v>1715852</v>
      </c>
      <c r="Z12" s="11">
        <v>15415816</v>
      </c>
      <c r="AA12" s="11">
        <v>148237</v>
      </c>
      <c r="AB12" s="11"/>
      <c r="AC12" s="11">
        <v>10467865</v>
      </c>
      <c r="AD12" s="11">
        <v>15112862</v>
      </c>
      <c r="AE12" s="11"/>
      <c r="AF12" s="11"/>
      <c r="AG12" s="11">
        <v>22159213</v>
      </c>
      <c r="AH12" s="11"/>
      <c r="AI12" s="11">
        <v>7490583</v>
      </c>
      <c r="AJ12" s="12">
        <f t="shared" ref="AJ12:AJ28" si="2">SUM(B12:AI12)</f>
        <v>224993427</v>
      </c>
    </row>
    <row r="13" spans="1:36" x14ac:dyDescent="0.25">
      <c r="A13" s="29" t="s">
        <v>262</v>
      </c>
      <c r="B13" s="11">
        <v>1473628</v>
      </c>
      <c r="C13" s="11">
        <v>3799832</v>
      </c>
      <c r="D13" s="11"/>
      <c r="E13" s="11">
        <v>12530790</v>
      </c>
      <c r="F13" s="11"/>
      <c r="G13" s="11">
        <v>34905665</v>
      </c>
      <c r="H13" s="11">
        <v>72381639</v>
      </c>
      <c r="I13" s="11">
        <v>3306428</v>
      </c>
      <c r="J13" s="11">
        <v>1999786</v>
      </c>
      <c r="K13" s="11">
        <v>309709</v>
      </c>
      <c r="L13" s="11"/>
      <c r="M13" s="11"/>
      <c r="N13" s="11">
        <v>10871119</v>
      </c>
      <c r="O13" s="11">
        <v>77310833</v>
      </c>
      <c r="P13" s="11">
        <v>182389871</v>
      </c>
      <c r="Q13" s="11">
        <v>70454647</v>
      </c>
      <c r="R13" s="11">
        <v>3561729</v>
      </c>
      <c r="S13" s="11">
        <v>15117471</v>
      </c>
      <c r="T13" s="11">
        <v>14492927</v>
      </c>
      <c r="U13" s="11">
        <v>5841229</v>
      </c>
      <c r="V13" s="11">
        <v>216989727</v>
      </c>
      <c r="W13" s="11"/>
      <c r="X13" s="11"/>
      <c r="Y13" s="11">
        <v>2451586</v>
      </c>
      <c r="Z13" s="11">
        <v>82550212</v>
      </c>
      <c r="AA13" s="11">
        <v>48317</v>
      </c>
      <c r="AB13" s="11"/>
      <c r="AC13" s="11">
        <v>42330880</v>
      </c>
      <c r="AD13" s="11">
        <v>48734273</v>
      </c>
      <c r="AE13" s="11"/>
      <c r="AF13" s="11"/>
      <c r="AG13" s="11">
        <v>89553086</v>
      </c>
      <c r="AH13" s="11"/>
      <c r="AI13" s="11">
        <v>13859339</v>
      </c>
      <c r="AJ13" s="12">
        <f t="shared" si="2"/>
        <v>1007264723</v>
      </c>
    </row>
    <row r="14" spans="1:36" s="49" customFormat="1" x14ac:dyDescent="0.25">
      <c r="A14" s="20" t="s">
        <v>263</v>
      </c>
      <c r="B14" s="48">
        <f>B12+B13</f>
        <v>3271824</v>
      </c>
      <c r="C14" s="48">
        <f t="shared" ref="C14:AI14" si="3">C12+C13</f>
        <v>5501893</v>
      </c>
      <c r="D14" s="48">
        <v>61163403</v>
      </c>
      <c r="E14" s="48">
        <f t="shared" si="3"/>
        <v>13730790</v>
      </c>
      <c r="F14" s="48">
        <v>170070934</v>
      </c>
      <c r="G14" s="48">
        <f t="shared" si="3"/>
        <v>40830115</v>
      </c>
      <c r="H14" s="48">
        <f t="shared" si="3"/>
        <v>79306819</v>
      </c>
      <c r="I14" s="48">
        <f t="shared" si="3"/>
        <v>4965291</v>
      </c>
      <c r="J14" s="48">
        <f t="shared" si="3"/>
        <v>2462606</v>
      </c>
      <c r="K14" s="48">
        <f t="shared" si="3"/>
        <v>1933854</v>
      </c>
      <c r="L14" s="48">
        <v>105647149.31999999</v>
      </c>
      <c r="M14" s="48">
        <v>38112873</v>
      </c>
      <c r="N14" s="48">
        <f t="shared" si="3"/>
        <v>19113466</v>
      </c>
      <c r="O14" s="48">
        <f t="shared" si="3"/>
        <v>96792303</v>
      </c>
      <c r="P14" s="48">
        <f t="shared" si="3"/>
        <v>237107108</v>
      </c>
      <c r="Q14" s="48">
        <f t="shared" si="3"/>
        <v>90398599</v>
      </c>
      <c r="R14" s="48">
        <f t="shared" si="3"/>
        <v>4876706</v>
      </c>
      <c r="S14" s="48">
        <f t="shared" si="3"/>
        <v>19449710</v>
      </c>
      <c r="T14" s="48">
        <f t="shared" si="3"/>
        <v>16616956</v>
      </c>
      <c r="U14" s="48">
        <f t="shared" si="3"/>
        <v>8677904</v>
      </c>
      <c r="V14" s="48">
        <f t="shared" si="3"/>
        <v>235184085</v>
      </c>
      <c r="W14" s="48">
        <v>600989803</v>
      </c>
      <c r="X14" s="48">
        <v>235443983</v>
      </c>
      <c r="Y14" s="48">
        <f t="shared" si="3"/>
        <v>4167438</v>
      </c>
      <c r="Z14" s="48">
        <f t="shared" si="3"/>
        <v>97966028</v>
      </c>
      <c r="AA14" s="48">
        <f t="shared" si="3"/>
        <v>196554</v>
      </c>
      <c r="AB14" s="48">
        <v>13971751</v>
      </c>
      <c r="AC14" s="48">
        <f t="shared" si="3"/>
        <v>52798745</v>
      </c>
      <c r="AD14" s="48">
        <f t="shared" si="3"/>
        <v>63847135</v>
      </c>
      <c r="AE14" s="48">
        <v>88394182</v>
      </c>
      <c r="AF14" s="48">
        <v>34114067</v>
      </c>
      <c r="AG14" s="48">
        <f t="shared" si="3"/>
        <v>111712299</v>
      </c>
      <c r="AH14" s="48">
        <v>316840887</v>
      </c>
      <c r="AI14" s="48">
        <f t="shared" si="3"/>
        <v>21349922</v>
      </c>
      <c r="AJ14" s="12">
        <f t="shared" si="2"/>
        <v>2897007182.3199997</v>
      </c>
    </row>
    <row r="15" spans="1:36" x14ac:dyDescent="0.25">
      <c r="A15" s="29" t="s">
        <v>264</v>
      </c>
      <c r="B15" s="11"/>
      <c r="C15" s="11"/>
      <c r="D15" s="11">
        <v>126336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59840</v>
      </c>
      <c r="U15" s="11"/>
      <c r="V15" s="11">
        <v>390087</v>
      </c>
      <c r="W15" s="11">
        <v>2934390</v>
      </c>
      <c r="X15" s="11">
        <v>1436898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>
        <v>1512289</v>
      </c>
      <c r="AI15" s="11"/>
      <c r="AJ15" s="12">
        <f t="shared" si="2"/>
        <v>6459840</v>
      </c>
    </row>
    <row r="16" spans="1:36" x14ac:dyDescent="0.25">
      <c r="A16" s="29" t="s">
        <v>265</v>
      </c>
      <c r="B16" s="11">
        <v>18858</v>
      </c>
      <c r="C16" s="11">
        <v>625273</v>
      </c>
      <c r="D16" s="11">
        <v>2641939</v>
      </c>
      <c r="E16" s="11">
        <v>429168</v>
      </c>
      <c r="F16" s="11">
        <v>4265139</v>
      </c>
      <c r="G16" s="11">
        <v>194017</v>
      </c>
      <c r="H16" s="11">
        <v>737297</v>
      </c>
      <c r="I16" s="11">
        <v>116495</v>
      </c>
      <c r="J16" s="11">
        <v>545116</v>
      </c>
      <c r="K16" s="11">
        <v>113992</v>
      </c>
      <c r="L16" s="11">
        <v>2701319.63</v>
      </c>
      <c r="M16" s="11">
        <v>154162</v>
      </c>
      <c r="N16" s="11">
        <v>155475</v>
      </c>
      <c r="O16" s="11">
        <v>2157938</v>
      </c>
      <c r="P16" s="11">
        <v>4649999</v>
      </c>
      <c r="Q16" s="11">
        <v>621005</v>
      </c>
      <c r="R16" s="11">
        <v>67187</v>
      </c>
      <c r="S16" s="11">
        <v>253396</v>
      </c>
      <c r="T16" s="11">
        <v>276153</v>
      </c>
      <c r="U16" s="11">
        <v>358564</v>
      </c>
      <c r="V16" s="11">
        <v>3678457</v>
      </c>
      <c r="W16" s="11">
        <v>5008121</v>
      </c>
      <c r="X16" s="11">
        <v>5818811</v>
      </c>
      <c r="Y16" s="11">
        <v>20154</v>
      </c>
      <c r="Z16" s="11">
        <v>329900</v>
      </c>
      <c r="AA16" s="11">
        <v>436975</v>
      </c>
      <c r="AB16" s="11">
        <v>549289</v>
      </c>
      <c r="AC16" s="11">
        <v>284707</v>
      </c>
      <c r="AD16" s="11">
        <v>915281</v>
      </c>
      <c r="AE16" s="11">
        <v>502799</v>
      </c>
      <c r="AF16" s="11">
        <v>967773</v>
      </c>
      <c r="AG16" s="11">
        <v>1820573</v>
      </c>
      <c r="AH16" s="11">
        <v>2542241</v>
      </c>
      <c r="AI16" s="11">
        <v>375176</v>
      </c>
      <c r="AJ16" s="12">
        <f t="shared" si="2"/>
        <v>44332749.629999995</v>
      </c>
    </row>
    <row r="17" spans="1:36" x14ac:dyDescent="0.25">
      <c r="A17" s="29" t="s">
        <v>266</v>
      </c>
      <c r="B17" s="11"/>
      <c r="C17" s="11"/>
      <c r="D17" s="11">
        <v>49047</v>
      </c>
      <c r="E17" s="11">
        <v>149806</v>
      </c>
      <c r="F17" s="11">
        <v>1542177</v>
      </c>
      <c r="G17" s="11"/>
      <c r="H17" s="11">
        <v>1626533</v>
      </c>
      <c r="I17" s="11"/>
      <c r="J17" s="11"/>
      <c r="K17" s="11"/>
      <c r="L17" s="11">
        <v>306952.63</v>
      </c>
      <c r="M17" s="11">
        <v>506812</v>
      </c>
      <c r="N17" s="11"/>
      <c r="O17" s="11">
        <v>512970</v>
      </c>
      <c r="P17" s="11">
        <v>3772162</v>
      </c>
      <c r="Q17" s="11">
        <v>381000</v>
      </c>
      <c r="R17" s="11"/>
      <c r="S17" s="11"/>
      <c r="T17" s="11">
        <v>282856</v>
      </c>
      <c r="U17" s="11"/>
      <c r="V17" s="11"/>
      <c r="W17" s="11">
        <v>2212149</v>
      </c>
      <c r="X17" s="11"/>
      <c r="Y17" s="11">
        <v>40654</v>
      </c>
      <c r="Z17" s="11">
        <v>372735</v>
      </c>
      <c r="AA17" s="11"/>
      <c r="AB17" s="11"/>
      <c r="AC17" s="11">
        <v>333089</v>
      </c>
      <c r="AD17" s="11">
        <v>497266</v>
      </c>
      <c r="AE17" s="11">
        <v>321327</v>
      </c>
      <c r="AF17" s="11"/>
      <c r="AG17" s="11">
        <v>232719</v>
      </c>
      <c r="AH17" s="11"/>
      <c r="AI17" s="11">
        <v>7410</v>
      </c>
      <c r="AJ17" s="12">
        <f t="shared" si="2"/>
        <v>13147664.629999999</v>
      </c>
    </row>
    <row r="18" spans="1:36" x14ac:dyDescent="0.25">
      <c r="A18" s="20" t="s">
        <v>267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>
        <f t="shared" si="2"/>
        <v>0</v>
      </c>
    </row>
    <row r="19" spans="1:36" x14ac:dyDescent="0.25">
      <c r="A19" s="29" t="s">
        <v>268</v>
      </c>
      <c r="B19" s="11">
        <v>68724</v>
      </c>
      <c r="C19" s="11">
        <v>287814</v>
      </c>
      <c r="D19" s="11">
        <v>60733729</v>
      </c>
      <c r="E19" s="11">
        <v>3573017</v>
      </c>
      <c r="F19" s="11">
        <v>4676511</v>
      </c>
      <c r="G19" s="11">
        <v>1490494</v>
      </c>
      <c r="H19" s="11">
        <v>720933</v>
      </c>
      <c r="I19" s="11">
        <v>152378</v>
      </c>
      <c r="J19" s="11">
        <v>36471</v>
      </c>
      <c r="K19" s="11">
        <v>8618</v>
      </c>
      <c r="L19" s="11">
        <v>7834995.25</v>
      </c>
      <c r="M19" s="11">
        <v>1300600</v>
      </c>
      <c r="N19" s="11">
        <v>644142</v>
      </c>
      <c r="O19" s="11">
        <v>3426094</v>
      </c>
      <c r="P19" s="11">
        <v>1900582</v>
      </c>
      <c r="Q19" s="11">
        <v>576724</v>
      </c>
      <c r="R19" s="11">
        <v>101844</v>
      </c>
      <c r="S19" s="11">
        <v>461272</v>
      </c>
      <c r="T19" s="11">
        <v>359212</v>
      </c>
      <c r="U19" s="11">
        <v>165940</v>
      </c>
      <c r="V19" s="11">
        <v>9492416</v>
      </c>
      <c r="W19" s="11">
        <v>86131288</v>
      </c>
      <c r="X19" s="11">
        <v>21326952</v>
      </c>
      <c r="Y19" s="11">
        <v>31826</v>
      </c>
      <c r="Z19" s="11">
        <v>1748824</v>
      </c>
      <c r="AA19" s="11">
        <v>15769</v>
      </c>
      <c r="AB19" s="11">
        <v>599185</v>
      </c>
      <c r="AC19" s="11">
        <v>549178</v>
      </c>
      <c r="AD19" s="11">
        <v>61420</v>
      </c>
      <c r="AE19" s="11">
        <v>505553</v>
      </c>
      <c r="AF19" s="11">
        <v>2110481</v>
      </c>
      <c r="AG19" s="11">
        <v>2643723</v>
      </c>
      <c r="AH19" s="11">
        <v>14383938</v>
      </c>
      <c r="AI19" s="11">
        <v>564978</v>
      </c>
      <c r="AJ19" s="12">
        <f t="shared" si="2"/>
        <v>228685625.25</v>
      </c>
    </row>
    <row r="20" spans="1:36" x14ac:dyDescent="0.25">
      <c r="A20" s="29" t="s">
        <v>269</v>
      </c>
      <c r="B20" s="11">
        <v>596279</v>
      </c>
      <c r="C20" s="11">
        <v>537522</v>
      </c>
      <c r="D20" s="11">
        <v>27056931</v>
      </c>
      <c r="E20" s="11">
        <v>1576395</v>
      </c>
      <c r="F20" s="11">
        <v>24151138</v>
      </c>
      <c r="G20" s="11">
        <v>6353896</v>
      </c>
      <c r="H20" s="11">
        <v>11930591</v>
      </c>
      <c r="I20" s="11">
        <v>443036</v>
      </c>
      <c r="J20" s="11">
        <v>205731</v>
      </c>
      <c r="K20" s="11">
        <v>347310</v>
      </c>
      <c r="L20" s="11">
        <v>8849802.7100000009</v>
      </c>
      <c r="M20" s="11">
        <v>6895726</v>
      </c>
      <c r="N20" s="11">
        <v>2171655</v>
      </c>
      <c r="O20" s="11">
        <v>18716174</v>
      </c>
      <c r="P20" s="11">
        <v>100714623</v>
      </c>
      <c r="Q20" s="11">
        <v>13035633</v>
      </c>
      <c r="R20" s="11">
        <v>396924</v>
      </c>
      <c r="S20" s="11">
        <v>2021455</v>
      </c>
      <c r="T20" s="11">
        <v>1671143</v>
      </c>
      <c r="U20" s="11">
        <v>1602870</v>
      </c>
      <c r="V20" s="11">
        <v>78715833</v>
      </c>
      <c r="W20" s="11">
        <v>94731282</v>
      </c>
      <c r="X20" s="11">
        <v>54936794</v>
      </c>
      <c r="Y20" s="11">
        <v>312851</v>
      </c>
      <c r="Z20" s="11">
        <v>13947077</v>
      </c>
      <c r="AA20" s="11">
        <v>152653</v>
      </c>
      <c r="AB20" s="11">
        <v>1135886</v>
      </c>
      <c r="AC20" s="11">
        <v>5383491</v>
      </c>
      <c r="AD20" s="11">
        <v>8946458</v>
      </c>
      <c r="AE20" s="11">
        <v>4190849</v>
      </c>
      <c r="AF20" s="11">
        <v>8295630</v>
      </c>
      <c r="AG20" s="11">
        <v>20396356</v>
      </c>
      <c r="AH20" s="11">
        <v>42170777</v>
      </c>
      <c r="AI20" s="11">
        <v>10547156</v>
      </c>
      <c r="AJ20" s="12">
        <f t="shared" si="2"/>
        <v>573137927.71000004</v>
      </c>
    </row>
    <row r="21" spans="1:36" s="49" customFormat="1" x14ac:dyDescent="0.25">
      <c r="A21" s="20" t="s">
        <v>270</v>
      </c>
      <c r="B21" s="48">
        <f>B19+B20</f>
        <v>665003</v>
      </c>
      <c r="C21" s="48">
        <f t="shared" ref="C21:AI21" si="4">C19+C20</f>
        <v>825336</v>
      </c>
      <c r="D21" s="48">
        <f t="shared" si="4"/>
        <v>87790660</v>
      </c>
      <c r="E21" s="48">
        <f t="shared" si="4"/>
        <v>5149412</v>
      </c>
      <c r="F21" s="48">
        <f t="shared" si="4"/>
        <v>28827649</v>
      </c>
      <c r="G21" s="48">
        <f t="shared" si="4"/>
        <v>7844390</v>
      </c>
      <c r="H21" s="48">
        <f t="shared" si="4"/>
        <v>12651524</v>
      </c>
      <c r="I21" s="48">
        <f t="shared" si="4"/>
        <v>595414</v>
      </c>
      <c r="J21" s="48">
        <f t="shared" si="4"/>
        <v>242202</v>
      </c>
      <c r="K21" s="48">
        <f t="shared" si="4"/>
        <v>355928</v>
      </c>
      <c r="L21" s="48">
        <f t="shared" si="4"/>
        <v>16684797.960000001</v>
      </c>
      <c r="M21" s="48">
        <f t="shared" si="4"/>
        <v>8196326</v>
      </c>
      <c r="N21" s="48">
        <f t="shared" si="4"/>
        <v>2815797</v>
      </c>
      <c r="O21" s="48">
        <f t="shared" si="4"/>
        <v>22142268</v>
      </c>
      <c r="P21" s="48">
        <f t="shared" si="4"/>
        <v>102615205</v>
      </c>
      <c r="Q21" s="48">
        <f t="shared" si="4"/>
        <v>13612357</v>
      </c>
      <c r="R21" s="48">
        <f t="shared" si="4"/>
        <v>498768</v>
      </c>
      <c r="S21" s="48">
        <f t="shared" si="4"/>
        <v>2482727</v>
      </c>
      <c r="T21" s="48">
        <f t="shared" si="4"/>
        <v>2030355</v>
      </c>
      <c r="U21" s="48">
        <f t="shared" si="4"/>
        <v>1768810</v>
      </c>
      <c r="V21" s="48">
        <f t="shared" si="4"/>
        <v>88208249</v>
      </c>
      <c r="W21" s="48">
        <f t="shared" si="4"/>
        <v>180862570</v>
      </c>
      <c r="X21" s="48">
        <f t="shared" si="4"/>
        <v>76263746</v>
      </c>
      <c r="Y21" s="48">
        <f t="shared" si="4"/>
        <v>344677</v>
      </c>
      <c r="Z21" s="48">
        <f t="shared" si="4"/>
        <v>15695901</v>
      </c>
      <c r="AA21" s="48">
        <f t="shared" si="4"/>
        <v>168422</v>
      </c>
      <c r="AB21" s="48">
        <f t="shared" si="4"/>
        <v>1735071</v>
      </c>
      <c r="AC21" s="48">
        <f t="shared" si="4"/>
        <v>5932669</v>
      </c>
      <c r="AD21" s="48">
        <f t="shared" si="4"/>
        <v>9007878</v>
      </c>
      <c r="AE21" s="48">
        <f t="shared" si="4"/>
        <v>4696402</v>
      </c>
      <c r="AF21" s="48">
        <f t="shared" si="4"/>
        <v>10406111</v>
      </c>
      <c r="AG21" s="48">
        <f t="shared" si="4"/>
        <v>23040079</v>
      </c>
      <c r="AH21" s="48">
        <f t="shared" si="4"/>
        <v>56554715</v>
      </c>
      <c r="AI21" s="48">
        <f t="shared" si="4"/>
        <v>11112134</v>
      </c>
      <c r="AJ21" s="12">
        <f t="shared" si="2"/>
        <v>801823552.96000004</v>
      </c>
    </row>
    <row r="22" spans="1:36" x14ac:dyDescent="0.25">
      <c r="A22" s="29" t="s">
        <v>271</v>
      </c>
      <c r="B22" s="11">
        <v>1543792</v>
      </c>
      <c r="C22" s="11">
        <v>2088144</v>
      </c>
      <c r="D22" s="11">
        <v>102603584</v>
      </c>
      <c r="E22" s="11">
        <v>4387733</v>
      </c>
      <c r="F22" s="11">
        <v>109029764</v>
      </c>
      <c r="G22" s="11">
        <v>32362756</v>
      </c>
      <c r="H22" s="11">
        <v>55374053</v>
      </c>
      <c r="I22" s="11">
        <v>1570845</v>
      </c>
      <c r="J22" s="11">
        <v>763362</v>
      </c>
      <c r="K22" s="11">
        <v>879928</v>
      </c>
      <c r="L22" s="11">
        <v>64815522.130000003</v>
      </c>
      <c r="M22" s="11">
        <v>28348247</v>
      </c>
      <c r="N22" s="11">
        <v>9699745</v>
      </c>
      <c r="O22" s="11">
        <v>69103669</v>
      </c>
      <c r="P22" s="11">
        <v>228421128</v>
      </c>
      <c r="Q22" s="11">
        <v>58865508</v>
      </c>
      <c r="R22" s="11">
        <v>2244084</v>
      </c>
      <c r="S22" s="11">
        <v>11570716</v>
      </c>
      <c r="T22" s="11">
        <v>12209420</v>
      </c>
      <c r="U22" s="11">
        <v>3727146</v>
      </c>
      <c r="V22" s="11">
        <v>244347155</v>
      </c>
      <c r="W22" s="11">
        <v>291044430</v>
      </c>
      <c r="X22" s="11">
        <v>150337653</v>
      </c>
      <c r="Y22" s="11">
        <v>1933973</v>
      </c>
      <c r="Z22" s="11">
        <v>77033753</v>
      </c>
      <c r="AA22" s="11">
        <v>107150</v>
      </c>
      <c r="AB22" s="11">
        <v>4776643</v>
      </c>
      <c r="AC22" s="11">
        <v>35572208</v>
      </c>
      <c r="AD22" s="11">
        <v>38370800</v>
      </c>
      <c r="AE22" s="11">
        <v>64403574</v>
      </c>
      <c r="AF22" s="11">
        <v>7273278</v>
      </c>
      <c r="AG22" s="11">
        <v>86886912</v>
      </c>
      <c r="AH22" s="11">
        <v>234632381</v>
      </c>
      <c r="AI22" s="11">
        <v>17503521</v>
      </c>
      <c r="AJ22" s="12">
        <f t="shared" si="2"/>
        <v>2053832577.1300001</v>
      </c>
    </row>
    <row r="23" spans="1:36" x14ac:dyDescent="0.25">
      <c r="A23" s="29" t="s">
        <v>76</v>
      </c>
      <c r="B23" s="11">
        <v>547883</v>
      </c>
      <c r="C23" s="11">
        <v>3002474</v>
      </c>
      <c r="D23" s="11">
        <v>8167662</v>
      </c>
      <c r="E23" s="11">
        <v>9253029</v>
      </c>
      <c r="F23" s="11">
        <v>41966567</v>
      </c>
      <c r="G23" s="11">
        <v>8241334</v>
      </c>
      <c r="H23" s="11">
        <v>23029658</v>
      </c>
      <c r="I23" s="11">
        <v>2375842</v>
      </c>
      <c r="J23" s="11">
        <v>1090645</v>
      </c>
      <c r="K23" s="11">
        <v>455413</v>
      </c>
      <c r="L23" s="11">
        <v>7006566.4000000004</v>
      </c>
      <c r="M23" s="11">
        <v>10127882</v>
      </c>
      <c r="N23" s="11">
        <v>6471384</v>
      </c>
      <c r="O23" s="11">
        <v>28635800</v>
      </c>
      <c r="P23" s="11">
        <v>58173350</v>
      </c>
      <c r="Q23" s="11">
        <v>23445068</v>
      </c>
      <c r="R23" s="11">
        <v>1734777</v>
      </c>
      <c r="S23" s="11">
        <v>6220133</v>
      </c>
      <c r="T23" s="11">
        <v>3525111</v>
      </c>
      <c r="U23" s="11">
        <v>4560148</v>
      </c>
      <c r="V23" s="11">
        <v>49531791</v>
      </c>
      <c r="W23" s="11">
        <v>126135439</v>
      </c>
      <c r="X23" s="11">
        <v>65225859</v>
      </c>
      <c r="Y23" s="11">
        <v>645682</v>
      </c>
      <c r="Z23" s="11">
        <v>18847282</v>
      </c>
      <c r="AA23" s="11">
        <v>28166</v>
      </c>
      <c r="AB23" s="11">
        <v>6645856</v>
      </c>
      <c r="AC23" s="11">
        <v>11321860</v>
      </c>
      <c r="AD23" s="11">
        <v>17142660</v>
      </c>
      <c r="AE23" s="11">
        <v>12064104</v>
      </c>
      <c r="AF23" s="11">
        <v>21482981</v>
      </c>
      <c r="AG23" s="11">
        <v>24947421</v>
      </c>
      <c r="AH23" s="11">
        <v>77022864</v>
      </c>
      <c r="AI23" s="11">
        <v>6292115</v>
      </c>
      <c r="AJ23" s="12">
        <f t="shared" si="2"/>
        <v>685364806.39999998</v>
      </c>
    </row>
    <row r="24" spans="1:36" s="49" customFormat="1" x14ac:dyDescent="0.25">
      <c r="A24" s="20" t="s">
        <v>272</v>
      </c>
      <c r="B24" s="48">
        <f>B22+B23</f>
        <v>2091675</v>
      </c>
      <c r="C24" s="48">
        <f t="shared" ref="C24:AI24" si="5">C22+C23</f>
        <v>5090618</v>
      </c>
      <c r="D24" s="48">
        <f t="shared" si="5"/>
        <v>110771246</v>
      </c>
      <c r="E24" s="48">
        <f t="shared" si="5"/>
        <v>13640762</v>
      </c>
      <c r="F24" s="48">
        <f t="shared" si="5"/>
        <v>150996331</v>
      </c>
      <c r="G24" s="48">
        <f t="shared" si="5"/>
        <v>40604090</v>
      </c>
      <c r="H24" s="48">
        <f t="shared" si="5"/>
        <v>78403711</v>
      </c>
      <c r="I24" s="48">
        <f t="shared" si="5"/>
        <v>3946687</v>
      </c>
      <c r="J24" s="48">
        <f t="shared" si="5"/>
        <v>1854007</v>
      </c>
      <c r="K24" s="48">
        <f t="shared" si="5"/>
        <v>1335341</v>
      </c>
      <c r="L24" s="48">
        <f t="shared" si="5"/>
        <v>71822088.530000001</v>
      </c>
      <c r="M24" s="48">
        <f t="shared" si="5"/>
        <v>38476129</v>
      </c>
      <c r="N24" s="48">
        <f t="shared" si="5"/>
        <v>16171129</v>
      </c>
      <c r="O24" s="48">
        <f t="shared" si="5"/>
        <v>97739469</v>
      </c>
      <c r="P24" s="48">
        <f t="shared" si="5"/>
        <v>286594478</v>
      </c>
      <c r="Q24" s="48">
        <f t="shared" si="5"/>
        <v>82310576</v>
      </c>
      <c r="R24" s="48">
        <f t="shared" si="5"/>
        <v>3978861</v>
      </c>
      <c r="S24" s="48">
        <f t="shared" si="5"/>
        <v>17790849</v>
      </c>
      <c r="T24" s="48">
        <f t="shared" si="5"/>
        <v>15734531</v>
      </c>
      <c r="U24" s="48">
        <f t="shared" si="5"/>
        <v>8287294</v>
      </c>
      <c r="V24" s="48">
        <f t="shared" si="5"/>
        <v>293878946</v>
      </c>
      <c r="W24" s="48">
        <f t="shared" si="5"/>
        <v>417179869</v>
      </c>
      <c r="X24" s="48">
        <f t="shared" si="5"/>
        <v>215563512</v>
      </c>
      <c r="Y24" s="48">
        <f t="shared" si="5"/>
        <v>2579655</v>
      </c>
      <c r="Z24" s="48">
        <f t="shared" si="5"/>
        <v>95881035</v>
      </c>
      <c r="AA24" s="48">
        <f t="shared" si="5"/>
        <v>135316</v>
      </c>
      <c r="AB24" s="48">
        <f t="shared" si="5"/>
        <v>11422499</v>
      </c>
      <c r="AC24" s="48">
        <f t="shared" si="5"/>
        <v>46894068</v>
      </c>
      <c r="AD24" s="48">
        <f t="shared" si="5"/>
        <v>55513460</v>
      </c>
      <c r="AE24" s="48">
        <f t="shared" si="5"/>
        <v>76467678</v>
      </c>
      <c r="AF24" s="48">
        <f t="shared" si="5"/>
        <v>28756259</v>
      </c>
      <c r="AG24" s="48">
        <f t="shared" si="5"/>
        <v>111834333</v>
      </c>
      <c r="AH24" s="48">
        <f t="shared" si="5"/>
        <v>311655245</v>
      </c>
      <c r="AI24" s="48">
        <f t="shared" si="5"/>
        <v>23795636</v>
      </c>
      <c r="AJ24" s="12">
        <f t="shared" si="2"/>
        <v>2739197383.5299997</v>
      </c>
    </row>
    <row r="25" spans="1:36" s="9" customFormat="1" x14ac:dyDescent="0.25">
      <c r="A25" s="4" t="s">
        <v>273</v>
      </c>
      <c r="B25" s="12">
        <f>B21-B24</f>
        <v>-1426672</v>
      </c>
      <c r="C25" s="12">
        <f t="shared" ref="C25:AI25" si="6">C21-C24</f>
        <v>-4265282</v>
      </c>
      <c r="D25" s="12">
        <f t="shared" si="6"/>
        <v>-22980586</v>
      </c>
      <c r="E25" s="12">
        <f t="shared" si="6"/>
        <v>-8491350</v>
      </c>
      <c r="F25" s="12">
        <f t="shared" si="6"/>
        <v>-122168682</v>
      </c>
      <c r="G25" s="12">
        <f t="shared" si="6"/>
        <v>-32759700</v>
      </c>
      <c r="H25" s="12">
        <f t="shared" si="6"/>
        <v>-65752187</v>
      </c>
      <c r="I25" s="12">
        <f t="shared" si="6"/>
        <v>-3351273</v>
      </c>
      <c r="J25" s="12">
        <f t="shared" si="6"/>
        <v>-1611805</v>
      </c>
      <c r="K25" s="12">
        <f t="shared" si="6"/>
        <v>-979413</v>
      </c>
      <c r="L25" s="12">
        <f t="shared" si="6"/>
        <v>-55137290.57</v>
      </c>
      <c r="M25" s="12">
        <f t="shared" si="6"/>
        <v>-30279803</v>
      </c>
      <c r="N25" s="12">
        <f t="shared" si="6"/>
        <v>-13355332</v>
      </c>
      <c r="O25" s="12">
        <f t="shared" si="6"/>
        <v>-75597201</v>
      </c>
      <c r="P25" s="12">
        <f t="shared" si="6"/>
        <v>-183979273</v>
      </c>
      <c r="Q25" s="12">
        <f t="shared" si="6"/>
        <v>-68698219</v>
      </c>
      <c r="R25" s="12">
        <f t="shared" si="6"/>
        <v>-3480093</v>
      </c>
      <c r="S25" s="12">
        <f t="shared" si="6"/>
        <v>-15308122</v>
      </c>
      <c r="T25" s="12">
        <f t="shared" si="6"/>
        <v>-13704176</v>
      </c>
      <c r="U25" s="12">
        <f t="shared" si="6"/>
        <v>-6518484</v>
      </c>
      <c r="V25" s="12">
        <f t="shared" si="6"/>
        <v>-205670697</v>
      </c>
      <c r="W25" s="12">
        <f t="shared" si="6"/>
        <v>-236317299</v>
      </c>
      <c r="X25" s="12">
        <f t="shared" si="6"/>
        <v>-139299766</v>
      </c>
      <c r="Y25" s="12">
        <f t="shared" si="6"/>
        <v>-2234978</v>
      </c>
      <c r="Z25" s="12">
        <f t="shared" si="6"/>
        <v>-80185134</v>
      </c>
      <c r="AA25" s="12">
        <f t="shared" si="6"/>
        <v>33106</v>
      </c>
      <c r="AB25" s="12">
        <f t="shared" si="6"/>
        <v>-9687428</v>
      </c>
      <c r="AC25" s="12">
        <f t="shared" si="6"/>
        <v>-40961399</v>
      </c>
      <c r="AD25" s="12">
        <f t="shared" si="6"/>
        <v>-46505582</v>
      </c>
      <c r="AE25" s="12">
        <f t="shared" si="6"/>
        <v>-71771276</v>
      </c>
      <c r="AF25" s="12">
        <f t="shared" si="6"/>
        <v>-18350148</v>
      </c>
      <c r="AG25" s="12">
        <f t="shared" si="6"/>
        <v>-88794254</v>
      </c>
      <c r="AH25" s="12">
        <f t="shared" si="6"/>
        <v>-255100530</v>
      </c>
      <c r="AI25" s="12">
        <f t="shared" si="6"/>
        <v>-12683502</v>
      </c>
      <c r="AJ25" s="12">
        <f t="shared" si="2"/>
        <v>-1937373830.5699999</v>
      </c>
    </row>
    <row r="26" spans="1:36" ht="30" x14ac:dyDescent="0.25">
      <c r="A26" s="29" t="s">
        <v>274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>
        <v>1601045</v>
      </c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>
        <f t="shared" si="2"/>
        <v>1601045</v>
      </c>
    </row>
    <row r="27" spans="1:36" ht="30" x14ac:dyDescent="0.25">
      <c r="A27" s="29" t="s">
        <v>275</v>
      </c>
      <c r="B27" s="11">
        <v>1946100</v>
      </c>
      <c r="C27" s="11">
        <v>6088430</v>
      </c>
      <c r="D27" s="11"/>
      <c r="E27" s="11">
        <v>2941880</v>
      </c>
      <c r="F27" s="11"/>
      <c r="G27" s="11">
        <v>13231110</v>
      </c>
      <c r="H27" s="11"/>
      <c r="I27" s="11">
        <v>7879493</v>
      </c>
      <c r="J27" s="11">
        <v>504679</v>
      </c>
      <c r="K27" s="11">
        <v>1011790</v>
      </c>
      <c r="L27" s="11"/>
      <c r="M27" s="11">
        <v>60105</v>
      </c>
      <c r="N27" s="11">
        <v>4028099</v>
      </c>
      <c r="O27" s="11"/>
      <c r="P27" s="11"/>
      <c r="Q27" s="11"/>
      <c r="R27" s="11">
        <v>1143571</v>
      </c>
      <c r="S27" s="11">
        <v>9951549</v>
      </c>
      <c r="T27" s="11">
        <v>315264</v>
      </c>
      <c r="U27" s="11">
        <v>7943323</v>
      </c>
      <c r="V27" s="11"/>
      <c r="W27" s="11"/>
      <c r="X27" s="11"/>
      <c r="Y27" s="11">
        <v>79546</v>
      </c>
      <c r="Z27" s="11"/>
      <c r="AA27" s="11">
        <v>1198865</v>
      </c>
      <c r="AB27" s="11">
        <v>2524733</v>
      </c>
      <c r="AC27" s="11"/>
      <c r="AD27" s="11"/>
      <c r="AE27" s="11"/>
      <c r="AF27" s="11"/>
      <c r="AG27" s="11"/>
      <c r="AH27" s="11"/>
      <c r="AI27" s="11"/>
      <c r="AJ27" s="12">
        <f t="shared" si="2"/>
        <v>60848537</v>
      </c>
    </row>
    <row r="28" spans="1:36" s="9" customFormat="1" x14ac:dyDescent="0.25">
      <c r="A28" s="4" t="s">
        <v>57</v>
      </c>
      <c r="B28" s="12">
        <v>3810110</v>
      </c>
      <c r="C28" s="12">
        <v>7950314</v>
      </c>
      <c r="D28" s="12">
        <v>41000139</v>
      </c>
      <c r="E28" s="12">
        <v>8760294</v>
      </c>
      <c r="F28" s="12">
        <v>53709568</v>
      </c>
      <c r="G28" s="12">
        <v>21495542</v>
      </c>
      <c r="H28" s="12">
        <v>15918462</v>
      </c>
      <c r="I28" s="12">
        <v>9610006</v>
      </c>
      <c r="J28" s="12">
        <v>1900596</v>
      </c>
      <c r="K28" s="12">
        <v>2080223</v>
      </c>
      <c r="L28" s="12">
        <v>53518131.009999998</v>
      </c>
      <c r="M28" s="12">
        <v>8554149</v>
      </c>
      <c r="N28" s="12">
        <v>9941708</v>
      </c>
      <c r="O28" s="12">
        <v>23866010</v>
      </c>
      <c r="P28" s="12">
        <v>61549996</v>
      </c>
      <c r="Q28" s="12">
        <v>22702385</v>
      </c>
      <c r="R28" s="12">
        <v>2607371</v>
      </c>
      <c r="S28" s="12">
        <v>14346534</v>
      </c>
      <c r="T28" s="12">
        <v>3846893</v>
      </c>
      <c r="U28" s="12">
        <v>10461308</v>
      </c>
      <c r="V28" s="12">
        <v>33581932</v>
      </c>
      <c r="W28" s="12">
        <v>376428209</v>
      </c>
      <c r="X28" s="12">
        <v>103399925</v>
      </c>
      <c r="Y28" s="12">
        <v>2072814</v>
      </c>
      <c r="Z28" s="12">
        <v>18483529</v>
      </c>
      <c r="AA28" s="12">
        <v>1865500</v>
      </c>
      <c r="AB28" s="12">
        <v>7358345</v>
      </c>
      <c r="AC28" s="12">
        <v>12455142</v>
      </c>
      <c r="AD28" s="12">
        <v>18754100</v>
      </c>
      <c r="AE28" s="12">
        <v>17447033</v>
      </c>
      <c r="AF28" s="12">
        <v>16731692</v>
      </c>
      <c r="AG28" s="12">
        <v>24971337</v>
      </c>
      <c r="AH28" s="12">
        <v>65794887</v>
      </c>
      <c r="AI28" s="12">
        <v>9049006</v>
      </c>
      <c r="AJ28" s="12">
        <f t="shared" si="2"/>
        <v>1086023190.01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36" width="16" style="8" customWidth="1"/>
    <col min="37" max="16384" width="9.140625" style="8"/>
  </cols>
  <sheetData>
    <row r="1" spans="1:36" ht="18.75" x14ac:dyDescent="0.3">
      <c r="A1" s="6" t="s">
        <v>254</v>
      </c>
    </row>
    <row r="2" spans="1:36" x14ac:dyDescent="0.25">
      <c r="A2" s="19" t="s">
        <v>48</v>
      </c>
    </row>
    <row r="3" spans="1:36" x14ac:dyDescent="0.25">
      <c r="A3" s="36" t="s">
        <v>239</v>
      </c>
    </row>
    <row r="4" spans="1:36" x14ac:dyDescent="0.25">
      <c r="A4" s="1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50" t="s">
        <v>9</v>
      </c>
      <c r="K4" s="50" t="s">
        <v>10</v>
      </c>
      <c r="L4" s="50" t="s">
        <v>11</v>
      </c>
      <c r="M4" s="50" t="s">
        <v>12</v>
      </c>
      <c r="N4" s="50" t="s">
        <v>13</v>
      </c>
      <c r="O4" s="50" t="s">
        <v>14</v>
      </c>
      <c r="P4" s="50" t="s">
        <v>15</v>
      </c>
      <c r="Q4" s="50" t="s">
        <v>16</v>
      </c>
      <c r="R4" s="50" t="s">
        <v>17</v>
      </c>
      <c r="S4" s="50" t="s">
        <v>18</v>
      </c>
      <c r="T4" s="50" t="s">
        <v>19</v>
      </c>
      <c r="U4" s="50" t="s">
        <v>20</v>
      </c>
      <c r="V4" s="50" t="s">
        <v>21</v>
      </c>
      <c r="W4" s="50" t="s">
        <v>22</v>
      </c>
      <c r="X4" s="50" t="s">
        <v>23</v>
      </c>
      <c r="Y4" s="50" t="s">
        <v>24</v>
      </c>
      <c r="Z4" s="50" t="s">
        <v>25</v>
      </c>
      <c r="AA4" s="50" t="s">
        <v>26</v>
      </c>
      <c r="AB4" s="50" t="s">
        <v>27</v>
      </c>
      <c r="AC4" s="50" t="s">
        <v>28</v>
      </c>
      <c r="AD4" s="50" t="s">
        <v>29</v>
      </c>
      <c r="AE4" s="50" t="s">
        <v>30</v>
      </c>
      <c r="AF4" s="50" t="s">
        <v>31</v>
      </c>
      <c r="AG4" s="50" t="s">
        <v>32</v>
      </c>
      <c r="AH4" s="51" t="s">
        <v>33</v>
      </c>
      <c r="AI4" s="50" t="s">
        <v>34</v>
      </c>
      <c r="AJ4" s="50" t="s">
        <v>35</v>
      </c>
    </row>
    <row r="5" spans="1:36" x14ac:dyDescent="0.25">
      <c r="A5" s="11" t="s">
        <v>296</v>
      </c>
      <c r="B5" s="11"/>
      <c r="C5" s="11"/>
      <c r="D5" s="11"/>
      <c r="E5" s="11"/>
      <c r="F5" s="11">
        <v>3698900</v>
      </c>
      <c r="G5" s="11">
        <v>810772</v>
      </c>
      <c r="H5" s="11">
        <v>966918</v>
      </c>
      <c r="I5" s="11"/>
      <c r="J5" s="11">
        <v>48321</v>
      </c>
      <c r="K5" s="11">
        <v>9713</v>
      </c>
      <c r="L5" s="11"/>
      <c r="M5" s="11">
        <v>1058053</v>
      </c>
      <c r="N5" s="11">
        <v>65150</v>
      </c>
      <c r="O5" s="11">
        <v>3539019</v>
      </c>
      <c r="P5" s="11">
        <v>5986471</v>
      </c>
      <c r="Q5" s="11">
        <v>2103996</v>
      </c>
      <c r="R5" s="11">
        <v>61662</v>
      </c>
      <c r="S5" s="11">
        <v>293268</v>
      </c>
      <c r="T5" s="11">
        <v>235370</v>
      </c>
      <c r="U5" s="11"/>
      <c r="V5" s="11">
        <v>3640372.0328538399</v>
      </c>
      <c r="W5" s="11">
        <v>11681629</v>
      </c>
      <c r="X5" s="11">
        <v>4918291</v>
      </c>
      <c r="Y5" s="11">
        <v>10864</v>
      </c>
      <c r="Z5" s="11">
        <v>2799206</v>
      </c>
      <c r="AA5" s="11"/>
      <c r="AB5" s="11"/>
      <c r="AC5" s="11">
        <v>956890</v>
      </c>
      <c r="AD5" s="11">
        <v>3096336</v>
      </c>
      <c r="AE5" s="11">
        <v>89728</v>
      </c>
      <c r="AF5" s="11"/>
      <c r="AG5" s="11">
        <v>3651976</v>
      </c>
      <c r="AH5" s="39">
        <v>4847845</v>
      </c>
      <c r="AI5" s="11">
        <v>879743</v>
      </c>
      <c r="AJ5" s="11">
        <f>SUM(B5:AI5)</f>
        <v>55450493.032853842</v>
      </c>
    </row>
    <row r="6" spans="1:36" x14ac:dyDescent="0.25">
      <c r="A6" s="11" t="s">
        <v>299</v>
      </c>
      <c r="B6" s="11"/>
      <c r="C6" s="11"/>
      <c r="D6" s="11"/>
      <c r="E6" s="11"/>
      <c r="F6" s="11">
        <v>183832</v>
      </c>
      <c r="G6" s="11">
        <v>91571</v>
      </c>
      <c r="H6" s="11">
        <v>23530</v>
      </c>
      <c r="I6" s="11"/>
      <c r="J6" s="11">
        <v>1308</v>
      </c>
      <c r="K6" s="11">
        <v>6770</v>
      </c>
      <c r="L6" s="11"/>
      <c r="M6" s="11">
        <v>343125</v>
      </c>
      <c r="N6" s="11">
        <v>800595</v>
      </c>
      <c r="O6" s="11">
        <v>400142</v>
      </c>
      <c r="P6" s="11">
        <v>311209</v>
      </c>
      <c r="Q6" s="11">
        <v>301126</v>
      </c>
      <c r="R6" s="11">
        <v>6538</v>
      </c>
      <c r="S6" s="11">
        <v>87909</v>
      </c>
      <c r="T6" s="11">
        <v>215012</v>
      </c>
      <c r="U6" s="11"/>
      <c r="V6" s="11">
        <v>601909.73786637606</v>
      </c>
      <c r="W6" s="11">
        <v>3236281</v>
      </c>
      <c r="X6" s="11">
        <v>139701</v>
      </c>
      <c r="Y6" s="11">
        <v>713</v>
      </c>
      <c r="Z6" s="11">
        <v>150300</v>
      </c>
      <c r="AA6" s="11"/>
      <c r="AB6" s="11"/>
      <c r="AC6" s="11">
        <v>148618</v>
      </c>
      <c r="AD6" s="11">
        <v>2245</v>
      </c>
      <c r="AE6" s="11">
        <v>12047</v>
      </c>
      <c r="AF6" s="11"/>
      <c r="AG6" s="11">
        <v>440843</v>
      </c>
      <c r="AH6" s="39">
        <v>787641</v>
      </c>
      <c r="AI6" s="11">
        <v>14877</v>
      </c>
      <c r="AJ6" s="11">
        <f t="shared" ref="AJ6:AJ7" si="0">SUM(B6:AI6)</f>
        <v>8307842.7378663756</v>
      </c>
    </row>
    <row r="7" spans="1:36" x14ac:dyDescent="0.25">
      <c r="A7" s="11" t="s">
        <v>300</v>
      </c>
      <c r="B7" s="11"/>
      <c r="C7" s="11"/>
      <c r="D7" s="11"/>
      <c r="E7" s="11"/>
      <c r="F7" s="11">
        <v>4710867</v>
      </c>
      <c r="G7" s="11">
        <v>763113</v>
      </c>
      <c r="H7" s="11">
        <v>655828</v>
      </c>
      <c r="I7" s="11"/>
      <c r="J7" s="11">
        <v>-29333</v>
      </c>
      <c r="K7" s="11">
        <v>10025</v>
      </c>
      <c r="L7" s="11"/>
      <c r="M7" s="11">
        <v>1043740</v>
      </c>
      <c r="N7" s="11">
        <v>770963</v>
      </c>
      <c r="O7" s="11">
        <v>-3243565</v>
      </c>
      <c r="P7" s="11">
        <v>4860364</v>
      </c>
      <c r="Q7" s="11">
        <v>2242648</v>
      </c>
      <c r="R7" s="11">
        <v>23557</v>
      </c>
      <c r="S7" s="11">
        <v>385093</v>
      </c>
      <c r="T7" s="11">
        <v>-415022</v>
      </c>
      <c r="U7" s="11"/>
      <c r="V7" s="11">
        <v>1624296.3127146799</v>
      </c>
      <c r="W7" s="11">
        <v>6983283</v>
      </c>
      <c r="X7" s="11">
        <v>2803332</v>
      </c>
      <c r="Y7" s="11">
        <v>9672</v>
      </c>
      <c r="Z7" s="11">
        <v>2138563</v>
      </c>
      <c r="AA7" s="11"/>
      <c r="AB7" s="11"/>
      <c r="AC7" s="11">
        <v>-921747</v>
      </c>
      <c r="AD7" s="11">
        <v>2316174</v>
      </c>
      <c r="AE7" s="11">
        <v>34063</v>
      </c>
      <c r="AF7" s="11"/>
      <c r="AG7" s="11">
        <v>6231351</v>
      </c>
      <c r="AH7" s="39">
        <v>2424171</v>
      </c>
      <c r="AI7" s="11">
        <v>732749</v>
      </c>
      <c r="AJ7" s="11">
        <f t="shared" si="0"/>
        <v>36154185.312714681</v>
      </c>
    </row>
    <row r="8" spans="1:36" x14ac:dyDescent="0.25">
      <c r="A8" s="11" t="s">
        <v>252</v>
      </c>
      <c r="B8" s="11"/>
      <c r="C8" s="11"/>
      <c r="D8" s="11"/>
      <c r="E8" s="11"/>
      <c r="F8" s="11">
        <v>-828135</v>
      </c>
      <c r="G8" s="11">
        <v>139230</v>
      </c>
      <c r="H8" s="11">
        <v>334620</v>
      </c>
      <c r="I8" s="11"/>
      <c r="J8" s="11">
        <v>20296</v>
      </c>
      <c r="K8" s="11">
        <v>6458</v>
      </c>
      <c r="L8" s="11"/>
      <c r="M8" s="11">
        <v>357438</v>
      </c>
      <c r="N8" s="11">
        <v>94781</v>
      </c>
      <c r="O8" s="11">
        <v>695596</v>
      </c>
      <c r="P8" s="11">
        <v>1437316</v>
      </c>
      <c r="Q8" s="11">
        <v>162474</v>
      </c>
      <c r="R8" s="11">
        <v>44643</v>
      </c>
      <c r="S8" s="11">
        <v>-3917</v>
      </c>
      <c r="T8" s="11">
        <v>35360</v>
      </c>
      <c r="U8" s="11"/>
      <c r="V8" s="11">
        <v>2617985.4580055354</v>
      </c>
      <c r="W8" s="11">
        <v>7934628</v>
      </c>
      <c r="X8" s="11">
        <v>2254660</v>
      </c>
      <c r="Y8" s="11">
        <v>1905</v>
      </c>
      <c r="Z8" s="11">
        <v>810943</v>
      </c>
      <c r="AA8" s="11"/>
      <c r="AB8" s="11"/>
      <c r="AC8" s="11">
        <v>183761</v>
      </c>
      <c r="AD8" s="11">
        <v>782407</v>
      </c>
      <c r="AE8" s="11">
        <v>67712</v>
      </c>
      <c r="AF8" s="11"/>
      <c r="AG8" s="11">
        <v>-2138532</v>
      </c>
      <c r="AH8" s="39">
        <v>3211315</v>
      </c>
      <c r="AI8" s="11">
        <v>161871</v>
      </c>
      <c r="AJ8" s="11">
        <f t="shared" ref="AJ8:AJ9" si="1">SUM(B8:AI8)</f>
        <v>18384815.458005536</v>
      </c>
    </row>
    <row r="9" spans="1:36" x14ac:dyDescent="0.25">
      <c r="A9" s="11" t="s">
        <v>253</v>
      </c>
      <c r="B9" s="11"/>
      <c r="C9" s="11"/>
      <c r="D9" s="11"/>
      <c r="E9" s="11"/>
      <c r="F9" s="11">
        <v>612395</v>
      </c>
      <c r="G9" s="11">
        <v>47621</v>
      </c>
      <c r="H9" s="11">
        <v>242347</v>
      </c>
      <c r="I9" s="11"/>
      <c r="J9" s="11">
        <v>140624</v>
      </c>
      <c r="K9" s="11">
        <v>2906</v>
      </c>
      <c r="L9" s="11"/>
      <c r="M9" s="11">
        <v>204301</v>
      </c>
      <c r="N9" s="11">
        <v>31583</v>
      </c>
      <c r="O9" s="11">
        <v>298191</v>
      </c>
      <c r="P9" s="11">
        <v>477019</v>
      </c>
      <c r="Q9" s="11">
        <v>124991</v>
      </c>
      <c r="R9" s="11">
        <v>16404</v>
      </c>
      <c r="S9" s="11">
        <v>5097</v>
      </c>
      <c r="T9" s="11">
        <v>15004</v>
      </c>
      <c r="U9" s="11"/>
      <c r="V9" s="11">
        <v>2095242.6080055353</v>
      </c>
      <c r="W9" s="11">
        <v>5189822</v>
      </c>
      <c r="X9" s="11">
        <v>2082361</v>
      </c>
      <c r="Y9" s="11">
        <v>1012</v>
      </c>
      <c r="Z9" s="11">
        <v>393421</v>
      </c>
      <c r="AA9" s="11"/>
      <c r="AB9" s="11"/>
      <c r="AC9" s="11">
        <v>71298</v>
      </c>
      <c r="AD9" s="11">
        <v>456465</v>
      </c>
      <c r="AE9" s="11">
        <v>43579</v>
      </c>
      <c r="AF9" s="11"/>
      <c r="AG9" s="11">
        <v>298215</v>
      </c>
      <c r="AH9" s="39">
        <v>2607390</v>
      </c>
      <c r="AI9" s="11">
        <v>118573</v>
      </c>
      <c r="AJ9" s="11">
        <f t="shared" si="1"/>
        <v>15575861.608005535</v>
      </c>
    </row>
    <row r="11" spans="1:36" x14ac:dyDescent="0.25">
      <c r="A11" s="32" t="s">
        <v>240</v>
      </c>
    </row>
    <row r="12" spans="1:36" x14ac:dyDescent="0.25">
      <c r="A12" s="1" t="s">
        <v>0</v>
      </c>
      <c r="B12" s="50" t="s">
        <v>1</v>
      </c>
      <c r="C12" s="50" t="s">
        <v>2</v>
      </c>
      <c r="D12" s="50" t="s">
        <v>3</v>
      </c>
      <c r="E12" s="50" t="s">
        <v>4</v>
      </c>
      <c r="F12" s="50" t="s">
        <v>5</v>
      </c>
      <c r="G12" s="50" t="s">
        <v>6</v>
      </c>
      <c r="H12" s="50" t="s">
        <v>7</v>
      </c>
      <c r="I12" s="50" t="s">
        <v>8</v>
      </c>
      <c r="J12" s="50" t="s">
        <v>9</v>
      </c>
      <c r="K12" s="50" t="s">
        <v>10</v>
      </c>
      <c r="L12" s="50" t="s">
        <v>11</v>
      </c>
      <c r="M12" s="50" t="s">
        <v>12</v>
      </c>
      <c r="N12" s="50" t="s">
        <v>13</v>
      </c>
      <c r="O12" s="50" t="s">
        <v>14</v>
      </c>
      <c r="P12" s="50" t="s">
        <v>15</v>
      </c>
      <c r="Q12" s="50" t="s">
        <v>16</v>
      </c>
      <c r="R12" s="50" t="s">
        <v>17</v>
      </c>
      <c r="S12" s="50" t="s">
        <v>18</v>
      </c>
      <c r="T12" s="50" t="s">
        <v>19</v>
      </c>
      <c r="U12" s="50" t="s">
        <v>20</v>
      </c>
      <c r="V12" s="50" t="s">
        <v>21</v>
      </c>
      <c r="W12" s="50" t="s">
        <v>22</v>
      </c>
      <c r="X12" s="50" t="s">
        <v>23</v>
      </c>
      <c r="Y12" s="50" t="s">
        <v>24</v>
      </c>
      <c r="Z12" s="50" t="s">
        <v>25</v>
      </c>
      <c r="AA12" s="50" t="s">
        <v>26</v>
      </c>
      <c r="AB12" s="50" t="s">
        <v>27</v>
      </c>
      <c r="AC12" s="50" t="s">
        <v>28</v>
      </c>
      <c r="AD12" s="50" t="s">
        <v>29</v>
      </c>
      <c r="AE12" s="50" t="s">
        <v>30</v>
      </c>
      <c r="AF12" s="50" t="s">
        <v>31</v>
      </c>
      <c r="AG12" s="50" t="s">
        <v>32</v>
      </c>
      <c r="AH12" s="51" t="s">
        <v>33</v>
      </c>
      <c r="AI12" s="50" t="s">
        <v>34</v>
      </c>
      <c r="AJ12" s="50" t="s">
        <v>35</v>
      </c>
    </row>
    <row r="13" spans="1:36" x14ac:dyDescent="0.25">
      <c r="A13" s="11" t="s">
        <v>296</v>
      </c>
      <c r="B13" s="11"/>
      <c r="C13" s="11"/>
      <c r="D13" s="11"/>
      <c r="E13" s="11"/>
      <c r="F13" s="11">
        <v>593031</v>
      </c>
      <c r="G13" s="11">
        <v>238479</v>
      </c>
      <c r="H13" s="11">
        <v>208414</v>
      </c>
      <c r="I13" s="11"/>
      <c r="J13" s="11"/>
      <c r="K13" s="11">
        <v>925</v>
      </c>
      <c r="L13" s="11"/>
      <c r="M13" s="11">
        <v>220143</v>
      </c>
      <c r="N13" s="11">
        <v>29</v>
      </c>
      <c r="O13" s="11">
        <v>604666</v>
      </c>
      <c r="P13" s="11">
        <v>1476548</v>
      </c>
      <c r="Q13" s="11">
        <v>484912</v>
      </c>
      <c r="R13" s="11"/>
      <c r="S13" s="11">
        <v>97988</v>
      </c>
      <c r="T13" s="11">
        <v>34352</v>
      </c>
      <c r="U13" s="11"/>
      <c r="V13" s="11">
        <v>686082.17455252004</v>
      </c>
      <c r="W13" s="11">
        <v>2127510</v>
      </c>
      <c r="X13" s="11">
        <v>992150</v>
      </c>
      <c r="Y13" s="11">
        <v>-64</v>
      </c>
      <c r="Z13" s="11">
        <v>614419</v>
      </c>
      <c r="AA13" s="11"/>
      <c r="AB13" s="11"/>
      <c r="AC13" s="11">
        <v>141566</v>
      </c>
      <c r="AD13" s="11">
        <v>82400</v>
      </c>
      <c r="AE13" s="11">
        <v>4686</v>
      </c>
      <c r="AF13" s="11"/>
      <c r="AG13" s="11">
        <v>986766</v>
      </c>
      <c r="AH13" s="39">
        <v>1013125</v>
      </c>
      <c r="AI13" s="11">
        <f>46110+7411</f>
        <v>53521</v>
      </c>
      <c r="AJ13" s="11">
        <f>SUM(B13:AI13)</f>
        <v>10661648.174552519</v>
      </c>
    </row>
    <row r="14" spans="1:36" x14ac:dyDescent="0.25">
      <c r="A14" s="11" t="s">
        <v>299</v>
      </c>
      <c r="B14" s="11"/>
      <c r="C14" s="11"/>
      <c r="D14" s="11"/>
      <c r="E14" s="11"/>
      <c r="F14" s="11"/>
      <c r="G14" s="11">
        <v>6146</v>
      </c>
      <c r="H14" s="11"/>
      <c r="I14" s="11"/>
      <c r="J14" s="11"/>
      <c r="K14" s="11"/>
      <c r="L14" s="11"/>
      <c r="M14" s="11">
        <v>5688</v>
      </c>
      <c r="N14" s="11">
        <v>237</v>
      </c>
      <c r="O14" s="11">
        <v>50543</v>
      </c>
      <c r="P14" s="11">
        <v>69326</v>
      </c>
      <c r="Q14" s="11">
        <v>5066</v>
      </c>
      <c r="R14" s="11"/>
      <c r="S14" s="11"/>
      <c r="T14" s="11">
        <v>20249</v>
      </c>
      <c r="U14" s="11"/>
      <c r="V14" s="11">
        <v>81619.337</v>
      </c>
      <c r="W14" s="11">
        <v>135473</v>
      </c>
      <c r="X14" s="11">
        <v>89560</v>
      </c>
      <c r="Y14" s="11"/>
      <c r="Z14" s="11"/>
      <c r="AA14" s="11"/>
      <c r="AB14" s="11"/>
      <c r="AC14" s="11">
        <v>398</v>
      </c>
      <c r="AD14" s="11"/>
      <c r="AE14" s="11"/>
      <c r="AF14" s="11"/>
      <c r="AG14" s="11">
        <v>110782</v>
      </c>
      <c r="AH14" s="39">
        <v>57806</v>
      </c>
      <c r="AI14" s="11"/>
      <c r="AJ14" s="11">
        <f t="shared" ref="AJ14:AJ15" si="2">SUM(B14:AI14)</f>
        <v>632893.33700000006</v>
      </c>
    </row>
    <row r="15" spans="1:36" x14ac:dyDescent="0.25">
      <c r="A15" s="11" t="s">
        <v>300</v>
      </c>
      <c r="B15" s="11"/>
      <c r="C15" s="11"/>
      <c r="D15" s="11"/>
      <c r="E15" s="11"/>
      <c r="F15" s="11">
        <v>214857</v>
      </c>
      <c r="G15" s="11">
        <v>68878</v>
      </c>
      <c r="H15" s="11">
        <v>143960</v>
      </c>
      <c r="I15" s="11"/>
      <c r="J15" s="11"/>
      <c r="K15" s="11">
        <v>1733</v>
      </c>
      <c r="L15" s="11"/>
      <c r="M15" s="11">
        <v>48328</v>
      </c>
      <c r="N15" s="11">
        <v>216</v>
      </c>
      <c r="O15" s="11">
        <f>-51187-327085</f>
        <v>-378272</v>
      </c>
      <c r="P15" s="11">
        <v>580656</v>
      </c>
      <c r="Q15" s="11">
        <v>250738</v>
      </c>
      <c r="R15" s="11"/>
      <c r="S15" s="11">
        <v>39461</v>
      </c>
      <c r="T15" s="11">
        <v>-51858</v>
      </c>
      <c r="U15" s="11"/>
      <c r="V15" s="11">
        <v>309238.61585660803</v>
      </c>
      <c r="W15" s="11">
        <v>1020456</v>
      </c>
      <c r="X15" s="11">
        <v>407814</v>
      </c>
      <c r="Y15" s="11">
        <v>-35</v>
      </c>
      <c r="Z15" s="11">
        <v>569533</v>
      </c>
      <c r="AA15" s="11"/>
      <c r="AB15" s="11"/>
      <c r="AC15" s="11">
        <v>-76381</v>
      </c>
      <c r="AD15" s="11">
        <v>22841</v>
      </c>
      <c r="AE15" s="11">
        <v>1972</v>
      </c>
      <c r="AF15" s="11"/>
      <c r="AG15" s="11">
        <v>177060</v>
      </c>
      <c r="AH15" s="39">
        <v>442247</v>
      </c>
      <c r="AI15" s="11">
        <f>25657+7134</f>
        <v>32791</v>
      </c>
      <c r="AJ15" s="11">
        <f t="shared" si="2"/>
        <v>3826233.6158566079</v>
      </c>
    </row>
    <row r="16" spans="1:36" x14ac:dyDescent="0.25">
      <c r="A16" s="11" t="s">
        <v>252</v>
      </c>
      <c r="B16" s="11"/>
      <c r="C16" s="11"/>
      <c r="D16" s="11"/>
      <c r="E16" s="11"/>
      <c r="F16" s="11">
        <v>378174</v>
      </c>
      <c r="G16" s="11">
        <v>175747</v>
      </c>
      <c r="H16" s="11">
        <v>64454</v>
      </c>
      <c r="I16" s="11"/>
      <c r="J16" s="11"/>
      <c r="K16" s="11">
        <v>-808</v>
      </c>
      <c r="L16" s="11"/>
      <c r="M16" s="11">
        <v>177502</v>
      </c>
      <c r="N16" s="11">
        <v>50</v>
      </c>
      <c r="O16" s="11">
        <v>276937</v>
      </c>
      <c r="P16" s="11">
        <v>965218</v>
      </c>
      <c r="Q16" s="11">
        <v>239240</v>
      </c>
      <c r="R16" s="11"/>
      <c r="S16" s="11">
        <v>58527</v>
      </c>
      <c r="T16" s="11">
        <v>2743</v>
      </c>
      <c r="U16" s="11"/>
      <c r="V16" s="11">
        <v>458462.89569591195</v>
      </c>
      <c r="W16" s="11">
        <v>1242528</v>
      </c>
      <c r="X16" s="11">
        <v>673896</v>
      </c>
      <c r="Y16" s="11">
        <v>-29</v>
      </c>
      <c r="Z16" s="11">
        <v>44886</v>
      </c>
      <c r="AA16" s="11"/>
      <c r="AB16" s="11"/>
      <c r="AC16" s="11">
        <v>65583</v>
      </c>
      <c r="AD16" s="11">
        <v>59559</v>
      </c>
      <c r="AE16" s="11">
        <v>2714</v>
      </c>
      <c r="AF16" s="11"/>
      <c r="AG16" s="11">
        <v>920488</v>
      </c>
      <c r="AH16" s="39">
        <v>628684</v>
      </c>
      <c r="AI16" s="11">
        <f>20453+277</f>
        <v>20730</v>
      </c>
      <c r="AJ16" s="11">
        <f t="shared" ref="AJ16:AJ17" si="3">SUM(B16:AI16)</f>
        <v>6455285.8956959117</v>
      </c>
    </row>
    <row r="17" spans="1:36" x14ac:dyDescent="0.25">
      <c r="A17" s="11" t="s">
        <v>253</v>
      </c>
      <c r="B17" s="11"/>
      <c r="C17" s="11"/>
      <c r="D17" s="11"/>
      <c r="E17" s="11"/>
      <c r="F17" s="11">
        <v>271957</v>
      </c>
      <c r="G17" s="11">
        <v>94599</v>
      </c>
      <c r="H17" s="11">
        <v>47120</v>
      </c>
      <c r="I17" s="11"/>
      <c r="J17" s="11"/>
      <c r="K17" s="11">
        <v>-807</v>
      </c>
      <c r="L17" s="11"/>
      <c r="M17" s="11">
        <v>122905</v>
      </c>
      <c r="N17" s="11">
        <v>28</v>
      </c>
      <c r="O17" s="11">
        <v>190014</v>
      </c>
      <c r="P17" s="11">
        <v>584160</v>
      </c>
      <c r="Q17" s="11">
        <v>161631</v>
      </c>
      <c r="R17" s="11"/>
      <c r="S17" s="11">
        <v>49000</v>
      </c>
      <c r="T17" s="11">
        <v>1786</v>
      </c>
      <c r="U17" s="11"/>
      <c r="V17" s="11">
        <v>454409.49069591198</v>
      </c>
      <c r="W17" s="11">
        <v>812382</v>
      </c>
      <c r="X17" s="11">
        <v>623420</v>
      </c>
      <c r="Y17" s="11">
        <v>76</v>
      </c>
      <c r="Z17" s="11">
        <v>13257</v>
      </c>
      <c r="AA17" s="11"/>
      <c r="AB17" s="11"/>
      <c r="AC17" s="11">
        <v>56545</v>
      </c>
      <c r="AD17" s="11">
        <v>12075</v>
      </c>
      <c r="AE17" s="11">
        <v>2554</v>
      </c>
      <c r="AF17" s="11"/>
      <c r="AG17" s="11">
        <v>718814</v>
      </c>
      <c r="AH17" s="39">
        <v>578400</v>
      </c>
      <c r="AI17" s="11">
        <f>139+14766</f>
        <v>14905</v>
      </c>
      <c r="AJ17" s="11">
        <f t="shared" si="3"/>
        <v>4809230.4906959124</v>
      </c>
    </row>
    <row r="19" spans="1:36" x14ac:dyDescent="0.25">
      <c r="A19" s="32" t="s">
        <v>241</v>
      </c>
    </row>
    <row r="20" spans="1:36" x14ac:dyDescent="0.25">
      <c r="A20" s="1" t="s">
        <v>0</v>
      </c>
      <c r="B20" s="50" t="s">
        <v>1</v>
      </c>
      <c r="C20" s="50" t="s">
        <v>2</v>
      </c>
      <c r="D20" s="50" t="s">
        <v>3</v>
      </c>
      <c r="E20" s="50" t="s">
        <v>4</v>
      </c>
      <c r="F20" s="50" t="s">
        <v>5</v>
      </c>
      <c r="G20" s="50" t="s">
        <v>6</v>
      </c>
      <c r="H20" s="50" t="s">
        <v>7</v>
      </c>
      <c r="I20" s="50" t="s">
        <v>8</v>
      </c>
      <c r="J20" s="50" t="s">
        <v>9</v>
      </c>
      <c r="K20" s="50" t="s">
        <v>10</v>
      </c>
      <c r="L20" s="50" t="s">
        <v>11</v>
      </c>
      <c r="M20" s="50" t="s">
        <v>12</v>
      </c>
      <c r="N20" s="50" t="s">
        <v>13</v>
      </c>
      <c r="O20" s="50" t="s">
        <v>14</v>
      </c>
      <c r="P20" s="50" t="s">
        <v>15</v>
      </c>
      <c r="Q20" s="50" t="s">
        <v>16</v>
      </c>
      <c r="R20" s="50" t="s">
        <v>17</v>
      </c>
      <c r="S20" s="50" t="s">
        <v>18</v>
      </c>
      <c r="T20" s="50" t="s">
        <v>19</v>
      </c>
      <c r="U20" s="50" t="s">
        <v>20</v>
      </c>
      <c r="V20" s="50" t="s">
        <v>21</v>
      </c>
      <c r="W20" s="50" t="s">
        <v>22</v>
      </c>
      <c r="X20" s="50" t="s">
        <v>23</v>
      </c>
      <c r="Y20" s="50" t="s">
        <v>24</v>
      </c>
      <c r="Z20" s="50" t="s">
        <v>25</v>
      </c>
      <c r="AA20" s="50" t="s">
        <v>26</v>
      </c>
      <c r="AB20" s="50" t="s">
        <v>27</v>
      </c>
      <c r="AC20" s="50" t="s">
        <v>28</v>
      </c>
      <c r="AD20" s="50" t="s">
        <v>29</v>
      </c>
      <c r="AE20" s="50" t="s">
        <v>30</v>
      </c>
      <c r="AF20" s="50" t="s">
        <v>31</v>
      </c>
      <c r="AG20" s="50" t="s">
        <v>32</v>
      </c>
      <c r="AH20" s="51" t="s">
        <v>33</v>
      </c>
      <c r="AI20" s="50" t="s">
        <v>34</v>
      </c>
      <c r="AJ20" s="50" t="s">
        <v>35</v>
      </c>
    </row>
    <row r="21" spans="1:36" x14ac:dyDescent="0.25">
      <c r="A21" s="11" t="s">
        <v>296</v>
      </c>
      <c r="B21" s="11">
        <v>395112</v>
      </c>
      <c r="C21" s="11"/>
      <c r="D21" s="11"/>
      <c r="E21" s="11"/>
      <c r="F21" s="11">
        <v>12001354</v>
      </c>
      <c r="G21" s="11">
        <v>3242056</v>
      </c>
      <c r="H21" s="11">
        <v>8071491</v>
      </c>
      <c r="I21" s="11"/>
      <c r="J21" s="11">
        <v>277849</v>
      </c>
      <c r="K21" s="11">
        <v>29085</v>
      </c>
      <c r="L21" s="11"/>
      <c r="M21" s="11">
        <f>1758728+1229653</f>
        <v>2988381</v>
      </c>
      <c r="N21" s="11">
        <v>3584067</v>
      </c>
      <c r="O21" s="11">
        <v>7129394</v>
      </c>
      <c r="P21" s="11">
        <v>14778429</v>
      </c>
      <c r="Q21" s="11">
        <v>8335536</v>
      </c>
      <c r="R21" s="11">
        <v>483997</v>
      </c>
      <c r="S21" s="11">
        <f>1242726+845675</f>
        <v>2088401</v>
      </c>
      <c r="T21" s="11">
        <v>2212239</v>
      </c>
      <c r="U21" s="11"/>
      <c r="V21" s="11">
        <v>14012000.780424314</v>
      </c>
      <c r="W21" s="11">
        <v>23894056</v>
      </c>
      <c r="X21" s="11">
        <v>10075074</v>
      </c>
      <c r="Y21" s="11">
        <f>106020+601</f>
        <v>106621</v>
      </c>
      <c r="Z21" s="11">
        <v>8506584</v>
      </c>
      <c r="AA21" s="11"/>
      <c r="AB21" s="11"/>
      <c r="AC21" s="11">
        <v>4640624</v>
      </c>
      <c r="AD21" s="11">
        <v>2127253</v>
      </c>
      <c r="AE21" s="11">
        <v>5249038</v>
      </c>
      <c r="AF21" s="11"/>
      <c r="AG21" s="11">
        <v>9558429</v>
      </c>
      <c r="AH21" s="39">
        <v>15891937</v>
      </c>
      <c r="AI21" s="11">
        <f>775138+736466</f>
        <v>1511604</v>
      </c>
      <c r="AJ21" s="11">
        <f>SUM(B21:AI21)</f>
        <v>161190611.7804243</v>
      </c>
    </row>
    <row r="22" spans="1:36" x14ac:dyDescent="0.25">
      <c r="A22" s="11" t="s">
        <v>299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>
        <v>1864</v>
      </c>
      <c r="Q22" s="11"/>
      <c r="R22" s="11"/>
      <c r="S22" s="11"/>
      <c r="T22" s="11"/>
      <c r="U22" s="11"/>
      <c r="V22" s="11">
        <v>899.17200000000003</v>
      </c>
      <c r="W22" s="11">
        <v>24052</v>
      </c>
      <c r="X22" s="11">
        <v>1173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>
        <f t="shared" ref="AJ22:AJ23" si="4">SUM(B22:AI22)</f>
        <v>27988.171999999999</v>
      </c>
    </row>
    <row r="23" spans="1:36" x14ac:dyDescent="0.25">
      <c r="A23" s="11" t="s">
        <v>300</v>
      </c>
      <c r="B23" s="11">
        <f>174442+84703</f>
        <v>259145</v>
      </c>
      <c r="C23" s="11"/>
      <c r="D23" s="11"/>
      <c r="E23" s="11"/>
      <c r="F23" s="11">
        <v>628362</v>
      </c>
      <c r="G23" s="11">
        <v>262934</v>
      </c>
      <c r="H23" s="11">
        <v>1398033</v>
      </c>
      <c r="I23" s="11"/>
      <c r="J23" s="11">
        <v>-56085</v>
      </c>
      <c r="K23" s="11">
        <v>4580</v>
      </c>
      <c r="L23" s="11"/>
      <c r="M23" s="11">
        <f>38913+72893</f>
        <v>111806</v>
      </c>
      <c r="N23" s="11">
        <v>227858</v>
      </c>
      <c r="O23" s="11">
        <f>-781337-1016648</f>
        <v>-1797985</v>
      </c>
      <c r="P23" s="11">
        <v>1506500</v>
      </c>
      <c r="Q23" s="11">
        <v>432612</v>
      </c>
      <c r="R23" s="11">
        <v>28489</v>
      </c>
      <c r="S23" s="11">
        <f>93184+60879</f>
        <v>154063</v>
      </c>
      <c r="T23" s="11">
        <v>-663329</v>
      </c>
      <c r="U23" s="11"/>
      <c r="V23" s="11">
        <v>3515369.4650451038</v>
      </c>
      <c r="W23" s="11">
        <v>1353173</v>
      </c>
      <c r="X23" s="11">
        <v>529663</v>
      </c>
      <c r="Y23" s="11">
        <f>39+7958</f>
        <v>7997</v>
      </c>
      <c r="Z23" s="11">
        <v>2223233</v>
      </c>
      <c r="AA23" s="11"/>
      <c r="AB23" s="11"/>
      <c r="AC23" s="11">
        <v>-805355</v>
      </c>
      <c r="AD23" s="11">
        <v>456714</v>
      </c>
      <c r="AE23" s="11">
        <v>288849</v>
      </c>
      <c r="AF23" s="11"/>
      <c r="AG23" s="11">
        <v>2176337</v>
      </c>
      <c r="AH23" s="39">
        <v>810829</v>
      </c>
      <c r="AI23" s="11">
        <f>46958+47732</f>
        <v>94690</v>
      </c>
      <c r="AJ23" s="11">
        <f t="shared" si="4"/>
        <v>13148482.465045104</v>
      </c>
    </row>
    <row r="24" spans="1:36" x14ac:dyDescent="0.25">
      <c r="A24" s="11" t="s">
        <v>252</v>
      </c>
      <c r="B24" s="11">
        <v>135967</v>
      </c>
      <c r="C24" s="11"/>
      <c r="D24" s="11"/>
      <c r="E24" s="11"/>
      <c r="F24" s="11">
        <v>11372992</v>
      </c>
      <c r="G24" s="11">
        <v>2979122</v>
      </c>
      <c r="H24" s="11">
        <v>6673458</v>
      </c>
      <c r="I24" s="11"/>
      <c r="J24" s="11">
        <v>221764</v>
      </c>
      <c r="K24" s="11">
        <v>24505</v>
      </c>
      <c r="L24" s="11"/>
      <c r="M24" s="11">
        <f>1719815+1156760</f>
        <v>2876575</v>
      </c>
      <c r="N24" s="11">
        <v>3356209</v>
      </c>
      <c r="O24" s="11">
        <v>5331409</v>
      </c>
      <c r="P24" s="11">
        <v>13273793</v>
      </c>
      <c r="Q24" s="11">
        <v>7902924</v>
      </c>
      <c r="R24" s="11">
        <v>455508</v>
      </c>
      <c r="S24" s="11">
        <f>1149543+784796</f>
        <v>1934339</v>
      </c>
      <c r="T24" s="11">
        <v>1548910</v>
      </c>
      <c r="U24" s="11"/>
      <c r="V24" s="11">
        <v>10497530.48737921</v>
      </c>
      <c r="W24" s="11">
        <v>22564935</v>
      </c>
      <c r="X24" s="11">
        <v>9546584</v>
      </c>
      <c r="Y24" s="11">
        <f>98062+562</f>
        <v>98624</v>
      </c>
      <c r="Z24" s="11">
        <v>6283351</v>
      </c>
      <c r="AA24" s="11"/>
      <c r="AB24" s="11"/>
      <c r="AC24" s="11">
        <v>3835269</v>
      </c>
      <c r="AD24" s="11">
        <v>1670539</v>
      </c>
      <c r="AE24" s="11">
        <v>4960189</v>
      </c>
      <c r="AF24" s="11"/>
      <c r="AG24" s="11">
        <v>7382092</v>
      </c>
      <c r="AH24" s="39">
        <v>15081108</v>
      </c>
      <c r="AI24" s="11">
        <f>728180+688734</f>
        <v>1416914</v>
      </c>
      <c r="AJ24" s="11">
        <f t="shared" ref="AJ24:AJ25" si="5">SUM(B24:AI24)</f>
        <v>141424610.48737919</v>
      </c>
    </row>
    <row r="25" spans="1:36" x14ac:dyDescent="0.25">
      <c r="A25" s="11" t="s">
        <v>253</v>
      </c>
      <c r="B25" s="11">
        <v>152687</v>
      </c>
      <c r="C25" s="11"/>
      <c r="D25" s="11"/>
      <c r="E25" s="11"/>
      <c r="F25" s="11">
        <v>11648517</v>
      </c>
      <c r="G25" s="11">
        <v>2795518</v>
      </c>
      <c r="H25" s="11">
        <v>6652747</v>
      </c>
      <c r="I25" s="11"/>
      <c r="J25" s="11">
        <v>107495</v>
      </c>
      <c r="K25" s="11">
        <v>64256</v>
      </c>
      <c r="L25" s="11"/>
      <c r="M25" s="11">
        <f>1552234+1171311</f>
        <v>2723545</v>
      </c>
      <c r="N25" s="11">
        <v>2262090</v>
      </c>
      <c r="O25" s="11">
        <v>5770510</v>
      </c>
      <c r="P25" s="11">
        <v>14856366</v>
      </c>
      <c r="Q25" s="11">
        <v>7145733</v>
      </c>
      <c r="R25" s="11">
        <v>473394</v>
      </c>
      <c r="S25" s="11">
        <f>1078697+773148</f>
        <v>1851845</v>
      </c>
      <c r="T25" s="11">
        <v>1487364</v>
      </c>
      <c r="U25" s="11"/>
      <c r="V25" s="11">
        <v>11047185.09937921</v>
      </c>
      <c r="W25" s="11">
        <v>24067638</v>
      </c>
      <c r="X25" s="11">
        <v>10075445</v>
      </c>
      <c r="Y25" s="11">
        <f>172260+642</f>
        <v>172902</v>
      </c>
      <c r="Z25" s="11">
        <v>5558901</v>
      </c>
      <c r="AA25" s="11"/>
      <c r="AB25" s="11"/>
      <c r="AC25" s="11">
        <v>4188462</v>
      </c>
      <c r="AD25" s="11">
        <v>2042359</v>
      </c>
      <c r="AE25" s="11">
        <v>5349834</v>
      </c>
      <c r="AF25" s="11"/>
      <c r="AG25" s="11">
        <v>7687650</v>
      </c>
      <c r="AH25" s="39">
        <v>15219226</v>
      </c>
      <c r="AI25" s="11">
        <f>655988+872335</f>
        <v>1528323</v>
      </c>
      <c r="AJ25" s="11">
        <f t="shared" si="5"/>
        <v>144929992.09937921</v>
      </c>
    </row>
    <row r="27" spans="1:36" x14ac:dyDescent="0.25">
      <c r="A27" s="32" t="s">
        <v>242</v>
      </c>
    </row>
    <row r="28" spans="1:36" x14ac:dyDescent="0.25">
      <c r="A28" s="1" t="s">
        <v>0</v>
      </c>
      <c r="B28" s="50" t="s">
        <v>1</v>
      </c>
      <c r="C28" s="50" t="s">
        <v>2</v>
      </c>
      <c r="D28" s="50" t="s">
        <v>3</v>
      </c>
      <c r="E28" s="50" t="s">
        <v>4</v>
      </c>
      <c r="F28" s="50" t="s">
        <v>5</v>
      </c>
      <c r="G28" s="50" t="s">
        <v>6</v>
      </c>
      <c r="H28" s="50" t="s">
        <v>7</v>
      </c>
      <c r="I28" s="50" t="s">
        <v>8</v>
      </c>
      <c r="J28" s="50" t="s">
        <v>9</v>
      </c>
      <c r="K28" s="50" t="s">
        <v>10</v>
      </c>
      <c r="L28" s="50" t="s">
        <v>11</v>
      </c>
      <c r="M28" s="50" t="s">
        <v>12</v>
      </c>
      <c r="N28" s="50" t="s">
        <v>13</v>
      </c>
      <c r="O28" s="50" t="s">
        <v>14</v>
      </c>
      <c r="P28" s="50" t="s">
        <v>15</v>
      </c>
      <c r="Q28" s="50" t="s">
        <v>16</v>
      </c>
      <c r="R28" s="50" t="s">
        <v>17</v>
      </c>
      <c r="S28" s="50" t="s">
        <v>18</v>
      </c>
      <c r="T28" s="50" t="s">
        <v>19</v>
      </c>
      <c r="U28" s="50" t="s">
        <v>20</v>
      </c>
      <c r="V28" s="50" t="s">
        <v>21</v>
      </c>
      <c r="W28" s="50" t="s">
        <v>22</v>
      </c>
      <c r="X28" s="50" t="s">
        <v>23</v>
      </c>
      <c r="Y28" s="50" t="s">
        <v>24</v>
      </c>
      <c r="Z28" s="50" t="s">
        <v>25</v>
      </c>
      <c r="AA28" s="50" t="s">
        <v>26</v>
      </c>
      <c r="AB28" s="50" t="s">
        <v>27</v>
      </c>
      <c r="AC28" s="50" t="s">
        <v>28</v>
      </c>
      <c r="AD28" s="50" t="s">
        <v>29</v>
      </c>
      <c r="AE28" s="50" t="s">
        <v>30</v>
      </c>
      <c r="AF28" s="50" t="s">
        <v>31</v>
      </c>
      <c r="AG28" s="50" t="s">
        <v>32</v>
      </c>
      <c r="AH28" s="51" t="s">
        <v>33</v>
      </c>
      <c r="AI28" s="50" t="s">
        <v>34</v>
      </c>
      <c r="AJ28" s="50" t="s">
        <v>35</v>
      </c>
    </row>
    <row r="29" spans="1:36" x14ac:dyDescent="0.25">
      <c r="A29" s="11" t="s">
        <v>296</v>
      </c>
      <c r="B29" s="11"/>
      <c r="C29" s="11"/>
      <c r="D29" s="11"/>
      <c r="E29" s="11"/>
      <c r="F29" s="11">
        <v>364177</v>
      </c>
      <c r="G29" s="11">
        <v>101831</v>
      </c>
      <c r="H29" s="11">
        <v>80465</v>
      </c>
      <c r="I29" s="11"/>
      <c r="J29" s="11"/>
      <c r="K29" s="11"/>
      <c r="L29" s="11"/>
      <c r="M29" s="11">
        <v>135204</v>
      </c>
      <c r="N29" s="11">
        <v>11402</v>
      </c>
      <c r="O29" s="11">
        <v>491065</v>
      </c>
      <c r="P29" s="11">
        <v>926426</v>
      </c>
      <c r="Q29" s="11">
        <v>258691</v>
      </c>
      <c r="R29" s="11">
        <v>8804</v>
      </c>
      <c r="S29" s="11">
        <v>79474</v>
      </c>
      <c r="T29" s="11">
        <v>7557</v>
      </c>
      <c r="U29" s="11"/>
      <c r="V29" s="11">
        <v>723926.61138563207</v>
      </c>
      <c r="W29" s="11">
        <v>1387670</v>
      </c>
      <c r="X29" s="11">
        <v>709787</v>
      </c>
      <c r="Y29" s="11">
        <v>1759</v>
      </c>
      <c r="Z29" s="11">
        <v>355077</v>
      </c>
      <c r="AA29" s="11"/>
      <c r="AB29" s="11"/>
      <c r="AC29" s="11">
        <v>187954</v>
      </c>
      <c r="AD29" s="11">
        <v>87172</v>
      </c>
      <c r="AE29" s="11">
        <v>41886</v>
      </c>
      <c r="AF29" s="11"/>
      <c r="AG29" s="11">
        <v>133902</v>
      </c>
      <c r="AH29" s="39">
        <v>886189</v>
      </c>
      <c r="AI29" s="11">
        <v>27617</v>
      </c>
      <c r="AJ29" s="11">
        <f>SUM(B29:AI29)</f>
        <v>7008035.6113856323</v>
      </c>
    </row>
    <row r="30" spans="1:36" x14ac:dyDescent="0.25">
      <c r="A30" s="11" t="s">
        <v>299</v>
      </c>
      <c r="B30" s="11"/>
      <c r="C30" s="11"/>
      <c r="D30" s="11"/>
      <c r="E30" s="11"/>
      <c r="F30" s="11">
        <v>19370</v>
      </c>
      <c r="G30" s="11">
        <v>3256</v>
      </c>
      <c r="H30" s="11">
        <v>5948</v>
      </c>
      <c r="I30" s="11"/>
      <c r="J30" s="11">
        <v>331</v>
      </c>
      <c r="K30" s="11">
        <v>2123</v>
      </c>
      <c r="L30" s="11"/>
      <c r="M30" s="11">
        <v>9083</v>
      </c>
      <c r="N30" s="11">
        <v>7754</v>
      </c>
      <c r="O30" s="11">
        <v>45252</v>
      </c>
      <c r="P30" s="11">
        <v>159897</v>
      </c>
      <c r="Q30" s="11">
        <v>6066</v>
      </c>
      <c r="R30" s="11">
        <v>1653</v>
      </c>
      <c r="S30" s="11">
        <v>-97</v>
      </c>
      <c r="T30" s="11">
        <v>3908</v>
      </c>
      <c r="U30" s="11"/>
      <c r="V30" s="11">
        <v>83425.280064880004</v>
      </c>
      <c r="W30" s="11">
        <v>160184</v>
      </c>
      <c r="X30" s="11">
        <v>56891</v>
      </c>
      <c r="Y30" s="11"/>
      <c r="Z30" s="11">
        <v>12178</v>
      </c>
      <c r="AA30" s="11"/>
      <c r="AB30" s="11"/>
      <c r="AC30" s="11">
        <v>6143</v>
      </c>
      <c r="AD30" s="11"/>
      <c r="AE30" s="11">
        <v>3046</v>
      </c>
      <c r="AF30" s="11"/>
      <c r="AG30" s="11">
        <v>5199</v>
      </c>
      <c r="AH30" s="39">
        <v>76444</v>
      </c>
      <c r="AI30" s="11">
        <v>3540</v>
      </c>
      <c r="AJ30" s="11">
        <f t="shared" ref="AJ30:AJ31" si="6">SUM(B30:AI30)</f>
        <v>671594.28006488003</v>
      </c>
    </row>
    <row r="31" spans="1:36" x14ac:dyDescent="0.25">
      <c r="A31" s="11" t="s">
        <v>300</v>
      </c>
      <c r="B31" s="11"/>
      <c r="C31" s="11"/>
      <c r="D31" s="11"/>
      <c r="E31" s="11"/>
      <c r="F31" s="11">
        <v>297356</v>
      </c>
      <c r="G31" s="11">
        <v>82719</v>
      </c>
      <c r="H31" s="11">
        <v>48991</v>
      </c>
      <c r="I31" s="11"/>
      <c r="J31" s="11">
        <v>-25</v>
      </c>
      <c r="K31" s="11">
        <v>626</v>
      </c>
      <c r="L31" s="11"/>
      <c r="M31" s="11">
        <v>106933</v>
      </c>
      <c r="N31" s="11">
        <v>15515</v>
      </c>
      <c r="O31" s="11">
        <v>-343054</v>
      </c>
      <c r="P31" s="11">
        <v>764074</v>
      </c>
      <c r="Q31" s="11">
        <v>214016</v>
      </c>
      <c r="R31" s="11">
        <v>8318</v>
      </c>
      <c r="S31" s="11">
        <v>64562</v>
      </c>
      <c r="T31" s="11">
        <v>-9205</v>
      </c>
      <c r="U31" s="11"/>
      <c r="V31" s="11">
        <v>268944.91169107199</v>
      </c>
      <c r="W31" s="11">
        <v>774451</v>
      </c>
      <c r="X31" s="11">
        <v>230091</v>
      </c>
      <c r="Y31" s="11">
        <v>1467</v>
      </c>
      <c r="Z31" s="11">
        <v>243110</v>
      </c>
      <c r="AA31" s="11"/>
      <c r="AB31" s="11"/>
      <c r="AC31" s="11">
        <v>-133883</v>
      </c>
      <c r="AD31" s="11">
        <v>62217</v>
      </c>
      <c r="AE31" s="11">
        <v>16353</v>
      </c>
      <c r="AF31" s="11"/>
      <c r="AG31" s="11">
        <v>133738</v>
      </c>
      <c r="AH31" s="39">
        <v>413469</v>
      </c>
      <c r="AI31" s="11">
        <v>20385</v>
      </c>
      <c r="AJ31" s="11">
        <f t="shared" si="6"/>
        <v>3281168.9116910719</v>
      </c>
    </row>
    <row r="32" spans="1:36" x14ac:dyDescent="0.25">
      <c r="A32" s="11" t="s">
        <v>252</v>
      </c>
      <c r="B32" s="11"/>
      <c r="C32" s="11"/>
      <c r="D32" s="11"/>
      <c r="E32" s="11"/>
      <c r="F32" s="11">
        <v>86191</v>
      </c>
      <c r="G32" s="11">
        <v>22368</v>
      </c>
      <c r="H32" s="11">
        <v>37422</v>
      </c>
      <c r="I32" s="11"/>
      <c r="J32" s="11">
        <v>306</v>
      </c>
      <c r="K32" s="11">
        <v>1497</v>
      </c>
      <c r="L32" s="11"/>
      <c r="M32" s="11">
        <v>37353</v>
      </c>
      <c r="N32" s="11">
        <v>3641</v>
      </c>
      <c r="O32" s="11">
        <v>193263</v>
      </c>
      <c r="P32" s="11">
        <v>322249</v>
      </c>
      <c r="Q32" s="11">
        <v>50741</v>
      </c>
      <c r="R32" s="11">
        <v>2139</v>
      </c>
      <c r="S32" s="11">
        <v>14816</v>
      </c>
      <c r="T32" s="11">
        <v>2260</v>
      </c>
      <c r="U32" s="11"/>
      <c r="V32" s="11">
        <v>538406.97975944006</v>
      </c>
      <c r="W32" s="11">
        <v>773403</v>
      </c>
      <c r="X32" s="11">
        <v>536587</v>
      </c>
      <c r="Y32" s="11">
        <v>292</v>
      </c>
      <c r="Z32" s="11">
        <v>124145</v>
      </c>
      <c r="AA32" s="11"/>
      <c r="AB32" s="11"/>
      <c r="AC32" s="11">
        <v>60214</v>
      </c>
      <c r="AD32" s="11">
        <v>24955</v>
      </c>
      <c r="AE32" s="11">
        <v>28579</v>
      </c>
      <c r="AF32" s="11"/>
      <c r="AG32" s="11">
        <v>5363</v>
      </c>
      <c r="AH32" s="39">
        <v>549164</v>
      </c>
      <c r="AI32" s="11">
        <v>10772</v>
      </c>
      <c r="AJ32" s="11">
        <f t="shared" ref="AJ32:AJ33" si="7">SUM(B32:AI32)</f>
        <v>3426126.9797594398</v>
      </c>
    </row>
    <row r="33" spans="1:36" x14ac:dyDescent="0.25">
      <c r="A33" s="11" t="s">
        <v>253</v>
      </c>
      <c r="B33" s="11"/>
      <c r="C33" s="11"/>
      <c r="D33" s="11"/>
      <c r="E33" s="11"/>
      <c r="F33" s="11">
        <v>72409</v>
      </c>
      <c r="G33" s="11">
        <v>17442</v>
      </c>
      <c r="H33" s="11">
        <v>29250</v>
      </c>
      <c r="I33" s="11"/>
      <c r="J33" s="11">
        <v>141</v>
      </c>
      <c r="K33" s="11">
        <v>1141</v>
      </c>
      <c r="L33" s="11"/>
      <c r="M33" s="11">
        <v>34694</v>
      </c>
      <c r="N33" s="11">
        <v>2605</v>
      </c>
      <c r="O33" s="11">
        <v>58820</v>
      </c>
      <c r="P33" s="11">
        <v>211759</v>
      </c>
      <c r="Q33" s="11">
        <v>54079</v>
      </c>
      <c r="R33" s="11">
        <v>1371</v>
      </c>
      <c r="S33" s="11">
        <v>22472</v>
      </c>
      <c r="T33" s="11">
        <v>3398</v>
      </c>
      <c r="U33" s="11"/>
      <c r="V33" s="11">
        <v>518360.61075944005</v>
      </c>
      <c r="W33" s="11">
        <v>702514</v>
      </c>
      <c r="X33" s="11">
        <v>493324</v>
      </c>
      <c r="Y33" s="11">
        <v>405</v>
      </c>
      <c r="Z33" s="11">
        <v>83441</v>
      </c>
      <c r="AA33" s="11"/>
      <c r="AB33" s="11"/>
      <c r="AC33" s="11">
        <v>52233</v>
      </c>
      <c r="AD33" s="11">
        <v>24160</v>
      </c>
      <c r="AE33" s="11">
        <v>22111</v>
      </c>
      <c r="AF33" s="11"/>
      <c r="AG33" s="11">
        <v>5693</v>
      </c>
      <c r="AH33" s="39">
        <v>494875</v>
      </c>
      <c r="AI33" s="11">
        <v>12223</v>
      </c>
      <c r="AJ33" s="11">
        <f t="shared" si="7"/>
        <v>2918920.6107594399</v>
      </c>
    </row>
    <row r="35" spans="1:36" x14ac:dyDescent="0.25">
      <c r="A35" s="32" t="s">
        <v>243</v>
      </c>
    </row>
    <row r="36" spans="1:36" x14ac:dyDescent="0.25">
      <c r="A36" s="1" t="s">
        <v>0</v>
      </c>
      <c r="B36" s="50" t="s">
        <v>1</v>
      </c>
      <c r="C36" s="50" t="s">
        <v>2</v>
      </c>
      <c r="D36" s="50" t="s">
        <v>3</v>
      </c>
      <c r="E36" s="50" t="s">
        <v>4</v>
      </c>
      <c r="F36" s="50" t="s">
        <v>5</v>
      </c>
      <c r="G36" s="50" t="s">
        <v>6</v>
      </c>
      <c r="H36" s="50" t="s">
        <v>7</v>
      </c>
      <c r="I36" s="50" t="s">
        <v>8</v>
      </c>
      <c r="J36" s="50" t="s">
        <v>9</v>
      </c>
      <c r="K36" s="50" t="s">
        <v>10</v>
      </c>
      <c r="L36" s="50" t="s">
        <v>11</v>
      </c>
      <c r="M36" s="50" t="s">
        <v>12</v>
      </c>
      <c r="N36" s="50" t="s">
        <v>13</v>
      </c>
      <c r="O36" s="50" t="s">
        <v>14</v>
      </c>
      <c r="P36" s="50" t="s">
        <v>15</v>
      </c>
      <c r="Q36" s="50" t="s">
        <v>16</v>
      </c>
      <c r="R36" s="50" t="s">
        <v>17</v>
      </c>
      <c r="S36" s="50" t="s">
        <v>18</v>
      </c>
      <c r="T36" s="50" t="s">
        <v>19</v>
      </c>
      <c r="U36" s="50" t="s">
        <v>20</v>
      </c>
      <c r="V36" s="50" t="s">
        <v>21</v>
      </c>
      <c r="W36" s="50" t="s">
        <v>22</v>
      </c>
      <c r="X36" s="50" t="s">
        <v>23</v>
      </c>
      <c r="Y36" s="50" t="s">
        <v>24</v>
      </c>
      <c r="Z36" s="50" t="s">
        <v>25</v>
      </c>
      <c r="AA36" s="50" t="s">
        <v>26</v>
      </c>
      <c r="AB36" s="50" t="s">
        <v>27</v>
      </c>
      <c r="AC36" s="50" t="s">
        <v>28</v>
      </c>
      <c r="AD36" s="50" t="s">
        <v>29</v>
      </c>
      <c r="AE36" s="50" t="s">
        <v>30</v>
      </c>
      <c r="AF36" s="50" t="s">
        <v>31</v>
      </c>
      <c r="AG36" s="50" t="s">
        <v>32</v>
      </c>
      <c r="AH36" s="51" t="s">
        <v>33</v>
      </c>
      <c r="AI36" s="50" t="s">
        <v>34</v>
      </c>
      <c r="AJ36" s="50" t="s">
        <v>35</v>
      </c>
    </row>
    <row r="37" spans="1:36" x14ac:dyDescent="0.25">
      <c r="A37" s="11" t="s">
        <v>296</v>
      </c>
      <c r="B37" s="11">
        <v>173258</v>
      </c>
      <c r="C37" s="11">
        <v>1216883</v>
      </c>
      <c r="D37" s="11"/>
      <c r="E37" s="11">
        <v>4270542</v>
      </c>
      <c r="F37" s="11">
        <v>6701279</v>
      </c>
      <c r="G37" s="11">
        <v>1076807</v>
      </c>
      <c r="H37" s="11">
        <v>805186</v>
      </c>
      <c r="I37" s="11">
        <v>1240293</v>
      </c>
      <c r="J37" s="11">
        <v>76262</v>
      </c>
      <c r="K37" s="11">
        <v>141082</v>
      </c>
      <c r="L37" s="11"/>
      <c r="M37" s="11">
        <v>828596</v>
      </c>
      <c r="N37" s="11">
        <v>69085</v>
      </c>
      <c r="O37" s="11">
        <v>2910218</v>
      </c>
      <c r="P37" s="11">
        <v>7719105</v>
      </c>
      <c r="Q37" s="11">
        <v>4113976</v>
      </c>
      <c r="R37" s="11">
        <v>188173</v>
      </c>
      <c r="S37" s="11">
        <v>847256</v>
      </c>
      <c r="T37" s="11">
        <v>115986</v>
      </c>
      <c r="U37" s="11">
        <v>2388433</v>
      </c>
      <c r="V37" s="11">
        <v>10406279.806328841</v>
      </c>
      <c r="W37" s="11">
        <v>28344170</v>
      </c>
      <c r="X37" s="11">
        <v>9706647</v>
      </c>
      <c r="Y37" s="11">
        <v>546</v>
      </c>
      <c r="Z37" s="11">
        <v>5341891</v>
      </c>
      <c r="AA37" s="11">
        <v>35317</v>
      </c>
      <c r="AB37" s="11">
        <v>5430797</v>
      </c>
      <c r="AC37" s="11">
        <v>1001408</v>
      </c>
      <c r="AD37" s="11">
        <v>1764354</v>
      </c>
      <c r="AE37" s="11">
        <v>1791</v>
      </c>
      <c r="AF37" s="11"/>
      <c r="AG37" s="11">
        <v>2647290</v>
      </c>
      <c r="AH37">
        <v>11017571</v>
      </c>
      <c r="AI37" s="11">
        <v>472951</v>
      </c>
      <c r="AJ37" s="11">
        <f>SUM(B37:AI37)</f>
        <v>111053432.80632883</v>
      </c>
    </row>
    <row r="38" spans="1:36" x14ac:dyDescent="0.25">
      <c r="A38" s="11" t="s">
        <v>299</v>
      </c>
      <c r="B38" s="11"/>
      <c r="C38" s="11"/>
      <c r="D38" s="11"/>
      <c r="E38" s="11"/>
      <c r="F38" s="11"/>
      <c r="G38" s="11"/>
      <c r="H38" s="11"/>
      <c r="I38" s="11"/>
      <c r="J38" s="11"/>
      <c r="K38" s="11">
        <v>374</v>
      </c>
      <c r="L38" s="11"/>
      <c r="M38" s="11"/>
      <c r="N38" s="11"/>
      <c r="O38" s="11"/>
      <c r="P38" s="11">
        <v>153633</v>
      </c>
      <c r="Q38" s="11"/>
      <c r="R38" s="11"/>
      <c r="S38" s="11"/>
      <c r="T38" s="11"/>
      <c r="U38" s="11"/>
      <c r="V38" s="11">
        <v>0</v>
      </c>
      <c r="W38" s="11">
        <v>0</v>
      </c>
      <c r="X38" s="11">
        <v>16805</v>
      </c>
      <c r="Y38" s="11"/>
      <c r="Z38" s="11"/>
      <c r="AA38" s="11"/>
      <c r="AB38" s="11">
        <v>61986</v>
      </c>
      <c r="AC38" s="11"/>
      <c r="AD38" s="11"/>
      <c r="AE38" s="11"/>
      <c r="AF38" s="11"/>
      <c r="AG38" s="11"/>
      <c r="AH38" s="11"/>
      <c r="AI38" s="11"/>
      <c r="AJ38" s="11">
        <f t="shared" ref="AJ38:AJ39" si="8">SUM(B38:AI38)</f>
        <v>232798</v>
      </c>
    </row>
    <row r="39" spans="1:36" x14ac:dyDescent="0.25">
      <c r="A39" s="11" t="s">
        <v>300</v>
      </c>
      <c r="B39" s="11">
        <v>8655</v>
      </c>
      <c r="C39" s="11">
        <v>64837</v>
      </c>
      <c r="D39" s="11"/>
      <c r="E39" s="11">
        <v>979778</v>
      </c>
      <c r="F39" s="11">
        <v>1881511</v>
      </c>
      <c r="G39" s="11">
        <v>147280</v>
      </c>
      <c r="H39" s="11">
        <v>161875</v>
      </c>
      <c r="I39" s="11">
        <v>62555</v>
      </c>
      <c r="J39" s="11">
        <v>-17252</v>
      </c>
      <c r="K39" s="11">
        <v>81066</v>
      </c>
      <c r="L39" s="11"/>
      <c r="M39" s="11">
        <v>164327</v>
      </c>
      <c r="N39" s="11">
        <v>3454</v>
      </c>
      <c r="O39" s="11">
        <v>-1285205</v>
      </c>
      <c r="P39" s="11">
        <v>2369193</v>
      </c>
      <c r="Q39" s="11">
        <v>312734</v>
      </c>
      <c r="R39" s="11">
        <v>17383</v>
      </c>
      <c r="S39" s="11">
        <v>55078</v>
      </c>
      <c r="T39" s="11">
        <v>-55282</v>
      </c>
      <c r="U39" s="11">
        <v>558186</v>
      </c>
      <c r="V39" s="11">
        <v>3285724.4475211441</v>
      </c>
      <c r="W39" s="11">
        <v>3174787</v>
      </c>
      <c r="X39" s="11">
        <v>483080</v>
      </c>
      <c r="Y39" s="11">
        <v>27</v>
      </c>
      <c r="Z39" s="11">
        <v>1209123</v>
      </c>
      <c r="AA39" s="11">
        <v>12296</v>
      </c>
      <c r="AB39" s="11">
        <v>2177844</v>
      </c>
      <c r="AC39" s="11">
        <v>-185680</v>
      </c>
      <c r="AD39" s="11">
        <v>88218</v>
      </c>
      <c r="AE39" s="11">
        <v>632</v>
      </c>
      <c r="AF39" s="11"/>
      <c r="AG39" s="11">
        <v>688770</v>
      </c>
      <c r="AH39" s="39">
        <v>672915</v>
      </c>
      <c r="AI39" s="11">
        <v>26744</v>
      </c>
      <c r="AJ39" s="11">
        <f t="shared" si="8"/>
        <v>17144653.447521143</v>
      </c>
    </row>
    <row r="40" spans="1:36" x14ac:dyDescent="0.25">
      <c r="A40" s="11" t="s">
        <v>252</v>
      </c>
      <c r="B40" s="11">
        <v>164603</v>
      </c>
      <c r="C40" s="11">
        <v>1152046</v>
      </c>
      <c r="D40" s="11"/>
      <c r="E40" s="11">
        <v>3290764</v>
      </c>
      <c r="F40" s="11">
        <v>4819768</v>
      </c>
      <c r="G40" s="11">
        <v>929527</v>
      </c>
      <c r="H40" s="11">
        <v>643311</v>
      </c>
      <c r="I40" s="11">
        <v>1177738</v>
      </c>
      <c r="J40" s="11">
        <v>59010</v>
      </c>
      <c r="K40" s="11">
        <v>60390</v>
      </c>
      <c r="L40" s="11"/>
      <c r="M40" s="11">
        <v>664269</v>
      </c>
      <c r="N40" s="11">
        <v>65630</v>
      </c>
      <c r="O40" s="11">
        <v>1625013</v>
      </c>
      <c r="P40" s="11">
        <v>5503545</v>
      </c>
      <c r="Q40" s="11">
        <v>3801242</v>
      </c>
      <c r="R40" s="11">
        <v>170790</v>
      </c>
      <c r="S40" s="11">
        <v>792178</v>
      </c>
      <c r="T40" s="11">
        <v>60704</v>
      </c>
      <c r="U40" s="11">
        <v>1830247</v>
      </c>
      <c r="V40" s="11">
        <v>7120555.358807696</v>
      </c>
      <c r="W40" s="11">
        <v>25169383</v>
      </c>
      <c r="X40" s="11">
        <v>9240372</v>
      </c>
      <c r="Y40" s="11">
        <v>519</v>
      </c>
      <c r="Z40" s="11">
        <v>4132768</v>
      </c>
      <c r="AA40" s="11">
        <v>23021</v>
      </c>
      <c r="AB40" s="11">
        <v>3314939</v>
      </c>
      <c r="AC40" s="11">
        <v>815728</v>
      </c>
      <c r="AD40" s="11">
        <v>1676136</v>
      </c>
      <c r="AE40" s="11">
        <v>1160</v>
      </c>
      <c r="AF40" s="11"/>
      <c r="AG40" s="11">
        <v>1958520</v>
      </c>
      <c r="AH40" s="39">
        <v>10344656</v>
      </c>
      <c r="AI40" s="11">
        <v>446207</v>
      </c>
      <c r="AJ40" s="11">
        <f t="shared" ref="AJ40:AJ41" si="9">SUM(B40:AI40)</f>
        <v>91054739.358807698</v>
      </c>
    </row>
    <row r="41" spans="1:36" x14ac:dyDescent="0.25">
      <c r="A41" s="11" t="s">
        <v>253</v>
      </c>
      <c r="B41" s="11">
        <v>163971</v>
      </c>
      <c r="C41" s="11">
        <v>873557</v>
      </c>
      <c r="D41" s="11"/>
      <c r="E41" s="11">
        <v>2750897</v>
      </c>
      <c r="F41" s="11">
        <v>4745514</v>
      </c>
      <c r="G41" s="11">
        <v>772776</v>
      </c>
      <c r="H41" s="11">
        <v>545150</v>
      </c>
      <c r="I41" s="11">
        <v>1162216</v>
      </c>
      <c r="J41" s="11">
        <v>110238</v>
      </c>
      <c r="K41" s="11">
        <v>118040</v>
      </c>
      <c r="L41" s="11"/>
      <c r="M41" s="11">
        <v>563655</v>
      </c>
      <c r="N41" s="11">
        <v>59740</v>
      </c>
      <c r="O41" s="11">
        <v>1759265</v>
      </c>
      <c r="P41" s="11">
        <v>4390010</v>
      </c>
      <c r="Q41" s="11">
        <v>2232505</v>
      </c>
      <c r="R41" s="11">
        <v>132153</v>
      </c>
      <c r="S41" s="11">
        <v>497332</v>
      </c>
      <c r="T41" s="11">
        <v>116119</v>
      </c>
      <c r="U41" s="11">
        <v>1028907</v>
      </c>
      <c r="V41" s="11">
        <v>8634547.148807697</v>
      </c>
      <c r="W41" s="11">
        <v>18432620</v>
      </c>
      <c r="X41" s="11">
        <v>9283054</v>
      </c>
      <c r="Y41" s="11">
        <v>304</v>
      </c>
      <c r="Z41" s="11">
        <v>2038711</v>
      </c>
      <c r="AA41" s="11">
        <v>11486</v>
      </c>
      <c r="AB41" s="11">
        <v>2603201</v>
      </c>
      <c r="AC41" s="11">
        <v>710809</v>
      </c>
      <c r="AD41" s="11">
        <v>1267781</v>
      </c>
      <c r="AE41" s="11">
        <v>1087</v>
      </c>
      <c r="AF41" s="11"/>
      <c r="AG41" s="11">
        <v>1692420</v>
      </c>
      <c r="AH41" s="39">
        <v>10533228</v>
      </c>
      <c r="AI41" s="11">
        <v>335193</v>
      </c>
      <c r="AJ41" s="11">
        <f t="shared" si="9"/>
        <v>77566486.148807704</v>
      </c>
    </row>
    <row r="43" spans="1:36" x14ac:dyDescent="0.25">
      <c r="A43" s="32" t="s">
        <v>244</v>
      </c>
    </row>
    <row r="44" spans="1:36" x14ac:dyDescent="0.25">
      <c r="A44" s="1" t="s">
        <v>0</v>
      </c>
      <c r="B44" s="50" t="s">
        <v>1</v>
      </c>
      <c r="C44" s="50" t="s">
        <v>2</v>
      </c>
      <c r="D44" s="50" t="s">
        <v>3</v>
      </c>
      <c r="E44" s="50" t="s">
        <v>4</v>
      </c>
      <c r="F44" s="50" t="s">
        <v>5</v>
      </c>
      <c r="G44" s="50" t="s">
        <v>6</v>
      </c>
      <c r="H44" s="50" t="s">
        <v>7</v>
      </c>
      <c r="I44" s="50" t="s">
        <v>8</v>
      </c>
      <c r="J44" s="50" t="s">
        <v>9</v>
      </c>
      <c r="K44" s="50" t="s">
        <v>10</v>
      </c>
      <c r="L44" s="50" t="s">
        <v>11</v>
      </c>
      <c r="M44" s="50" t="s">
        <v>12</v>
      </c>
      <c r="N44" s="50" t="s">
        <v>13</v>
      </c>
      <c r="O44" s="50" t="s">
        <v>14</v>
      </c>
      <c r="P44" s="50" t="s">
        <v>15</v>
      </c>
      <c r="Q44" s="50" t="s">
        <v>16</v>
      </c>
      <c r="R44" s="50" t="s">
        <v>17</v>
      </c>
      <c r="S44" s="50" t="s">
        <v>18</v>
      </c>
      <c r="T44" s="50" t="s">
        <v>19</v>
      </c>
      <c r="U44" s="50" t="s">
        <v>20</v>
      </c>
      <c r="V44" s="50" t="s">
        <v>21</v>
      </c>
      <c r="W44" s="50" t="s">
        <v>22</v>
      </c>
      <c r="X44" s="50" t="s">
        <v>23</v>
      </c>
      <c r="Y44" s="50" t="s">
        <v>24</v>
      </c>
      <c r="Z44" s="50" t="s">
        <v>25</v>
      </c>
      <c r="AA44" s="50" t="s">
        <v>26</v>
      </c>
      <c r="AB44" s="50" t="s">
        <v>27</v>
      </c>
      <c r="AC44" s="50" t="s">
        <v>28</v>
      </c>
      <c r="AD44" s="50" t="s">
        <v>29</v>
      </c>
      <c r="AE44" s="50" t="s">
        <v>30</v>
      </c>
      <c r="AF44" s="50" t="s">
        <v>31</v>
      </c>
      <c r="AG44" s="50" t="s">
        <v>32</v>
      </c>
      <c r="AH44" s="51" t="s">
        <v>33</v>
      </c>
      <c r="AI44" s="50" t="s">
        <v>34</v>
      </c>
      <c r="AJ44" s="50" t="s">
        <v>35</v>
      </c>
    </row>
    <row r="45" spans="1:36" x14ac:dyDescent="0.25">
      <c r="A45" s="11" t="s">
        <v>296</v>
      </c>
      <c r="B45" s="11">
        <v>2466</v>
      </c>
      <c r="C45" s="11">
        <v>214113</v>
      </c>
      <c r="D45" s="11"/>
      <c r="E45" s="11">
        <v>476561</v>
      </c>
      <c r="F45" s="11">
        <v>714424</v>
      </c>
      <c r="G45" s="11">
        <v>77395</v>
      </c>
      <c r="H45" s="11">
        <v>700566</v>
      </c>
      <c r="I45" s="11">
        <v>19388</v>
      </c>
      <c r="J45" s="11">
        <v>9984</v>
      </c>
      <c r="K45" s="11">
        <v>150</v>
      </c>
      <c r="L45" s="11"/>
      <c r="M45" s="11">
        <v>156761</v>
      </c>
      <c r="N45" s="11">
        <v>22375</v>
      </c>
      <c r="O45" s="11">
        <v>1731119</v>
      </c>
      <c r="P45" s="11">
        <v>1355651</v>
      </c>
      <c r="Q45" s="11">
        <v>247573</v>
      </c>
      <c r="R45" s="11">
        <v>56437</v>
      </c>
      <c r="S45" s="11">
        <v>65476</v>
      </c>
      <c r="T45" s="11">
        <v>13161</v>
      </c>
      <c r="U45" s="11">
        <v>116155</v>
      </c>
      <c r="V45" s="11">
        <v>298812.54700000002</v>
      </c>
      <c r="W45" s="11">
        <v>1397835</v>
      </c>
      <c r="X45" s="11">
        <v>595305</v>
      </c>
      <c r="Y45" s="11">
        <v>405</v>
      </c>
      <c r="Z45" s="11">
        <v>213690</v>
      </c>
      <c r="AA45" s="11"/>
      <c r="AB45" s="11">
        <v>323233</v>
      </c>
      <c r="AC45" s="11">
        <v>146300</v>
      </c>
      <c r="AD45" s="11">
        <v>1188832</v>
      </c>
      <c r="AE45" s="11">
        <v>28744</v>
      </c>
      <c r="AF45" s="11"/>
      <c r="AG45" s="11">
        <v>322303</v>
      </c>
      <c r="AH45" s="39">
        <v>1135886</v>
      </c>
      <c r="AI45" s="11">
        <v>238575</v>
      </c>
      <c r="AJ45" s="11">
        <f>SUM(B45:AI45)</f>
        <v>11869675.547</v>
      </c>
    </row>
    <row r="46" spans="1:36" x14ac:dyDescent="0.25">
      <c r="A46" s="11" t="s">
        <v>299</v>
      </c>
      <c r="B46" s="11"/>
      <c r="C46" s="11"/>
      <c r="D46" s="11"/>
      <c r="E46" s="11"/>
      <c r="F46" s="11"/>
      <c r="G46" s="11"/>
      <c r="H46" s="11"/>
      <c r="I46" s="11"/>
      <c r="J46" s="11"/>
      <c r="K46" s="11">
        <v>21116</v>
      </c>
      <c r="L46" s="11"/>
      <c r="M46" s="11"/>
      <c r="N46" s="11"/>
      <c r="O46" s="11">
        <v>10438</v>
      </c>
      <c r="P46" s="11">
        <v>4385</v>
      </c>
      <c r="Q46" s="11"/>
      <c r="R46" s="11"/>
      <c r="S46" s="11">
        <v>12000</v>
      </c>
      <c r="T46" s="11">
        <v>2338</v>
      </c>
      <c r="U46" s="11"/>
      <c r="V46" s="11">
        <v>0</v>
      </c>
      <c r="W46" s="11">
        <v>15099</v>
      </c>
      <c r="X46" s="11">
        <v>17</v>
      </c>
      <c r="Y46" s="11"/>
      <c r="Z46" s="11"/>
      <c r="AA46" s="11"/>
      <c r="AB46" s="11">
        <v>20</v>
      </c>
      <c r="AC46" s="11">
        <v>21482</v>
      </c>
      <c r="AD46" s="11"/>
      <c r="AE46" s="11"/>
      <c r="AF46" s="11"/>
      <c r="AG46" s="11">
        <v>3748</v>
      </c>
      <c r="AH46" s="11">
        <v>-2</v>
      </c>
      <c r="AI46" s="11"/>
      <c r="AJ46" s="11">
        <f t="shared" ref="AJ46:AJ47" si="10">SUM(B46:AI46)</f>
        <v>90641</v>
      </c>
    </row>
    <row r="47" spans="1:36" x14ac:dyDescent="0.25">
      <c r="A47" s="11" t="s">
        <v>300</v>
      </c>
      <c r="B47" s="11">
        <v>123</v>
      </c>
      <c r="C47" s="11">
        <v>21986</v>
      </c>
      <c r="D47" s="11"/>
      <c r="E47" s="11">
        <v>74649</v>
      </c>
      <c r="F47" s="11">
        <v>43372</v>
      </c>
      <c r="G47" s="11">
        <v>4516</v>
      </c>
      <c r="H47" s="11">
        <v>88253</v>
      </c>
      <c r="I47" s="11">
        <v>1063</v>
      </c>
      <c r="J47" s="11">
        <v>-6175</v>
      </c>
      <c r="K47" s="11">
        <v>236</v>
      </c>
      <c r="L47" s="11"/>
      <c r="M47" s="11">
        <v>20369</v>
      </c>
      <c r="N47" s="11">
        <v>1119</v>
      </c>
      <c r="O47" s="11">
        <v>-485169</v>
      </c>
      <c r="P47" s="11">
        <v>202759</v>
      </c>
      <c r="Q47" s="11">
        <v>29575</v>
      </c>
      <c r="R47" s="11">
        <v>39079</v>
      </c>
      <c r="S47" s="11">
        <v>10300</v>
      </c>
      <c r="T47" s="11">
        <v>-3060</v>
      </c>
      <c r="U47" s="11">
        <v>20208</v>
      </c>
      <c r="V47" s="11">
        <v>14940.596</v>
      </c>
      <c r="W47" s="11">
        <v>70445</v>
      </c>
      <c r="X47" s="11">
        <v>-155673</v>
      </c>
      <c r="Y47" s="11">
        <v>338</v>
      </c>
      <c r="Z47" s="11">
        <v>63199</v>
      </c>
      <c r="AA47" s="11"/>
      <c r="AB47" s="11">
        <v>32314</v>
      </c>
      <c r="AC47" s="11">
        <v>-36510</v>
      </c>
      <c r="AD47" s="11">
        <v>65348</v>
      </c>
      <c r="AE47" s="11">
        <v>19010</v>
      </c>
      <c r="AF47" s="11"/>
      <c r="AG47" s="11">
        <v>16466</v>
      </c>
      <c r="AH47" s="39">
        <v>663973</v>
      </c>
      <c r="AI47" s="11">
        <v>56834</v>
      </c>
      <c r="AJ47" s="11">
        <f t="shared" si="10"/>
        <v>873887.59600000002</v>
      </c>
    </row>
    <row r="48" spans="1:36" x14ac:dyDescent="0.25">
      <c r="A48" s="11" t="s">
        <v>252</v>
      </c>
      <c r="B48" s="11">
        <v>2343</v>
      </c>
      <c r="C48" s="11">
        <v>192127</v>
      </c>
      <c r="D48" s="11"/>
      <c r="E48" s="11">
        <v>401912</v>
      </c>
      <c r="F48" s="11">
        <v>671052</v>
      </c>
      <c r="G48" s="11">
        <v>72879</v>
      </c>
      <c r="H48" s="11">
        <v>612313</v>
      </c>
      <c r="I48" s="11">
        <v>18325</v>
      </c>
      <c r="J48" s="11">
        <v>3809</v>
      </c>
      <c r="K48" s="11">
        <v>21030</v>
      </c>
      <c r="L48" s="11"/>
      <c r="M48" s="11">
        <v>136392</v>
      </c>
      <c r="N48" s="11">
        <v>21256</v>
      </c>
      <c r="O48" s="11">
        <v>1256389</v>
      </c>
      <c r="P48" s="11">
        <v>1157277</v>
      </c>
      <c r="Q48" s="11">
        <v>217998</v>
      </c>
      <c r="R48" s="11">
        <v>17358</v>
      </c>
      <c r="S48" s="11">
        <v>67175</v>
      </c>
      <c r="T48" s="11">
        <v>12439</v>
      </c>
      <c r="U48" s="11">
        <v>95947</v>
      </c>
      <c r="V48" s="11">
        <v>283871.951</v>
      </c>
      <c r="W48" s="11">
        <v>1342489</v>
      </c>
      <c r="X48" s="11">
        <v>750995</v>
      </c>
      <c r="Y48" s="11">
        <v>67</v>
      </c>
      <c r="Z48" s="11">
        <v>150491</v>
      </c>
      <c r="AA48" s="11"/>
      <c r="AB48" s="11">
        <v>290939</v>
      </c>
      <c r="AC48" s="11">
        <v>131272</v>
      </c>
      <c r="AD48" s="11">
        <v>1123484</v>
      </c>
      <c r="AE48" s="11">
        <v>9735</v>
      </c>
      <c r="AF48" s="11"/>
      <c r="AG48" s="11">
        <v>309585</v>
      </c>
      <c r="AH48" s="39">
        <v>471911</v>
      </c>
      <c r="AI48" s="11">
        <v>181741</v>
      </c>
      <c r="AJ48" s="11">
        <f t="shared" ref="AJ48:AJ49" si="11">SUM(B48:AI48)</f>
        <v>10024601.951000001</v>
      </c>
    </row>
    <row r="49" spans="1:36" x14ac:dyDescent="0.25">
      <c r="A49" s="11" t="s">
        <v>253</v>
      </c>
      <c r="B49" s="11">
        <v>1514</v>
      </c>
      <c r="C49" s="11">
        <v>154844</v>
      </c>
      <c r="D49" s="11"/>
      <c r="E49" s="11">
        <v>387465</v>
      </c>
      <c r="F49" s="11">
        <v>600077</v>
      </c>
      <c r="G49" s="11">
        <v>51718</v>
      </c>
      <c r="H49" s="11">
        <v>476213</v>
      </c>
      <c r="I49" s="11">
        <v>30219</v>
      </c>
      <c r="J49" s="11">
        <v>23668</v>
      </c>
      <c r="K49" s="11">
        <v>6774</v>
      </c>
      <c r="L49" s="11"/>
      <c r="M49" s="11">
        <v>138620</v>
      </c>
      <c r="N49" s="11">
        <v>3150</v>
      </c>
      <c r="O49" s="11">
        <v>1066982</v>
      </c>
      <c r="P49" s="11">
        <v>977005</v>
      </c>
      <c r="Q49" s="11">
        <v>161934</v>
      </c>
      <c r="R49" s="11">
        <v>15718</v>
      </c>
      <c r="S49" s="11">
        <v>45298</v>
      </c>
      <c r="T49" s="11">
        <v>13264</v>
      </c>
      <c r="U49" s="11">
        <v>53959</v>
      </c>
      <c r="V49" s="11">
        <v>315085.641</v>
      </c>
      <c r="W49" s="11">
        <v>1314699</v>
      </c>
      <c r="X49" s="11">
        <v>673902</v>
      </c>
      <c r="Y49" s="11">
        <v>152</v>
      </c>
      <c r="Z49" s="11">
        <v>75534</v>
      </c>
      <c r="AA49" s="11"/>
      <c r="AB49" s="11">
        <v>252282</v>
      </c>
      <c r="AC49" s="11">
        <v>123616</v>
      </c>
      <c r="AD49" s="11">
        <v>1469099</v>
      </c>
      <c r="AE49" s="11">
        <v>12753</v>
      </c>
      <c r="AF49" s="11"/>
      <c r="AG49" s="11">
        <v>323537</v>
      </c>
      <c r="AH49" s="39">
        <v>424792</v>
      </c>
      <c r="AI49" s="11">
        <v>67566</v>
      </c>
      <c r="AJ49" s="11">
        <f t="shared" si="11"/>
        <v>9261439.6409999989</v>
      </c>
    </row>
    <row r="51" spans="1:36" x14ac:dyDescent="0.25">
      <c r="A51" s="32" t="s">
        <v>245</v>
      </c>
    </row>
    <row r="52" spans="1:36" x14ac:dyDescent="0.25">
      <c r="A52" s="1" t="s">
        <v>0</v>
      </c>
      <c r="B52" s="50" t="s">
        <v>1</v>
      </c>
      <c r="C52" s="50" t="s">
        <v>2</v>
      </c>
      <c r="D52" s="50" t="s">
        <v>3</v>
      </c>
      <c r="E52" s="50" t="s">
        <v>4</v>
      </c>
      <c r="F52" s="50" t="s">
        <v>5</v>
      </c>
      <c r="G52" s="50" t="s">
        <v>6</v>
      </c>
      <c r="H52" s="50" t="s">
        <v>7</v>
      </c>
      <c r="I52" s="50" t="s">
        <v>8</v>
      </c>
      <c r="J52" s="50" t="s">
        <v>9</v>
      </c>
      <c r="K52" s="50" t="s">
        <v>10</v>
      </c>
      <c r="L52" s="50" t="s">
        <v>11</v>
      </c>
      <c r="M52" s="50" t="s">
        <v>12</v>
      </c>
      <c r="N52" s="50" t="s">
        <v>13</v>
      </c>
      <c r="O52" s="50" t="s">
        <v>14</v>
      </c>
      <c r="P52" s="50" t="s">
        <v>15</v>
      </c>
      <c r="Q52" s="50" t="s">
        <v>16</v>
      </c>
      <c r="R52" s="50" t="s">
        <v>17</v>
      </c>
      <c r="S52" s="50" t="s">
        <v>18</v>
      </c>
      <c r="T52" s="50" t="s">
        <v>19</v>
      </c>
      <c r="U52" s="50" t="s">
        <v>20</v>
      </c>
      <c r="V52" s="50" t="s">
        <v>21</v>
      </c>
      <c r="W52" s="50" t="s">
        <v>22</v>
      </c>
      <c r="X52" s="50" t="s">
        <v>23</v>
      </c>
      <c r="Y52" s="50" t="s">
        <v>24</v>
      </c>
      <c r="Z52" s="50" t="s">
        <v>25</v>
      </c>
      <c r="AA52" s="50" t="s">
        <v>26</v>
      </c>
      <c r="AB52" s="50" t="s">
        <v>27</v>
      </c>
      <c r="AC52" s="50" t="s">
        <v>28</v>
      </c>
      <c r="AD52" s="50" t="s">
        <v>29</v>
      </c>
      <c r="AE52" s="50" t="s">
        <v>30</v>
      </c>
      <c r="AF52" s="50" t="s">
        <v>31</v>
      </c>
      <c r="AG52" s="50" t="s">
        <v>32</v>
      </c>
      <c r="AH52" s="51" t="s">
        <v>33</v>
      </c>
      <c r="AI52" s="50" t="s">
        <v>34</v>
      </c>
      <c r="AJ52" s="50" t="s">
        <v>35</v>
      </c>
    </row>
    <row r="53" spans="1:36" x14ac:dyDescent="0.25">
      <c r="A53" s="11" t="s">
        <v>296</v>
      </c>
      <c r="B53" s="11">
        <v>98540</v>
      </c>
      <c r="C53" s="11"/>
      <c r="D53" s="11"/>
      <c r="E53" s="11"/>
      <c r="F53" s="11">
        <v>171238</v>
      </c>
      <c r="G53" s="11">
        <v>125091</v>
      </c>
      <c r="H53" s="11">
        <v>27319</v>
      </c>
      <c r="I53" s="11"/>
      <c r="J53" s="11"/>
      <c r="K53" s="11"/>
      <c r="L53" s="11"/>
      <c r="M53" s="11">
        <v>43425</v>
      </c>
      <c r="N53" s="11"/>
      <c r="O53" s="11">
        <v>233396</v>
      </c>
      <c r="P53" s="11">
        <v>301805</v>
      </c>
      <c r="Q53" s="11">
        <v>118326</v>
      </c>
      <c r="R53" s="11"/>
      <c r="S53" s="11">
        <v>25219</v>
      </c>
      <c r="T53" s="11">
        <v>163</v>
      </c>
      <c r="U53" s="11"/>
      <c r="V53" s="11">
        <v>233163.973</v>
      </c>
      <c r="W53" s="11">
        <v>2040501</v>
      </c>
      <c r="X53" s="11">
        <v>203543</v>
      </c>
      <c r="Y53" s="11">
        <v>17409</v>
      </c>
      <c r="Z53" s="11">
        <v>88463</v>
      </c>
      <c r="AA53" s="11"/>
      <c r="AB53" s="11"/>
      <c r="AC53" s="11">
        <v>17032</v>
      </c>
      <c r="AD53" s="11">
        <v>50863</v>
      </c>
      <c r="AE53" s="11">
        <v>2091</v>
      </c>
      <c r="AF53" s="11"/>
      <c r="AG53" s="11">
        <v>1010234</v>
      </c>
      <c r="AH53" s="39">
        <v>450916</v>
      </c>
      <c r="AI53" s="11">
        <v>10589</v>
      </c>
      <c r="AJ53" s="11">
        <f>SUM(B53:AI53)</f>
        <v>5269326.9730000002</v>
      </c>
    </row>
    <row r="54" spans="1:36" x14ac:dyDescent="0.25">
      <c r="A54" s="11" t="s">
        <v>299</v>
      </c>
      <c r="B54" s="11"/>
      <c r="C54" s="11"/>
      <c r="D54" s="11"/>
      <c r="E54" s="11"/>
      <c r="F54" s="11"/>
      <c r="G54" s="11">
        <v>427</v>
      </c>
      <c r="H54" s="11"/>
      <c r="I54" s="11"/>
      <c r="J54" s="11"/>
      <c r="K54" s="11"/>
      <c r="L54" s="11"/>
      <c r="M54" s="11">
        <v>6179</v>
      </c>
      <c r="N54" s="11"/>
      <c r="O54" s="11">
        <v>1520</v>
      </c>
      <c r="P54" s="11"/>
      <c r="Q54" s="11">
        <v>1681</v>
      </c>
      <c r="R54" s="11"/>
      <c r="S54" s="11"/>
      <c r="T54" s="11"/>
      <c r="U54" s="11"/>
      <c r="V54" s="11">
        <v>-66778.346000000005</v>
      </c>
      <c r="W54" s="11">
        <v>3352</v>
      </c>
      <c r="X54" s="11">
        <v>140</v>
      </c>
      <c r="Y54" s="11">
        <v>6286</v>
      </c>
      <c r="Z54" s="11">
        <v>22</v>
      </c>
      <c r="AA54" s="11"/>
      <c r="AB54" s="11"/>
      <c r="AC54" s="11"/>
      <c r="AD54" s="11">
        <v>4374</v>
      </c>
      <c r="AE54" s="11"/>
      <c r="AF54" s="11"/>
      <c r="AG54" s="11">
        <v>56193</v>
      </c>
      <c r="AH54" s="39">
        <v>2198</v>
      </c>
      <c r="AI54" s="11"/>
      <c r="AJ54" s="11">
        <f t="shared" ref="AJ54:AJ55" si="12">SUM(B54:AI54)</f>
        <v>15593.653999999995</v>
      </c>
    </row>
    <row r="55" spans="1:36" x14ac:dyDescent="0.25">
      <c r="A55" s="11" t="s">
        <v>300</v>
      </c>
      <c r="B55" s="11">
        <v>57634</v>
      </c>
      <c r="C55" s="11"/>
      <c r="D55" s="11"/>
      <c r="E55" s="11"/>
      <c r="F55" s="11">
        <v>133923</v>
      </c>
      <c r="G55" s="11">
        <v>68214</v>
      </c>
      <c r="H55" s="11">
        <v>7673</v>
      </c>
      <c r="I55" s="11"/>
      <c r="J55" s="11"/>
      <c r="K55" s="11"/>
      <c r="L55" s="11"/>
      <c r="M55" s="11">
        <v>35315</v>
      </c>
      <c r="N55" s="11"/>
      <c r="O55" s="11">
        <v>-1891</v>
      </c>
      <c r="P55" s="11">
        <v>200476</v>
      </c>
      <c r="Q55" s="11">
        <v>37317</v>
      </c>
      <c r="R55" s="11"/>
      <c r="S55" s="11">
        <v>14686</v>
      </c>
      <c r="T55" s="11">
        <v>-106</v>
      </c>
      <c r="U55" s="11"/>
      <c r="V55" s="11">
        <v>11658.199000000001</v>
      </c>
      <c r="W55" s="11">
        <v>762070</v>
      </c>
      <c r="X55" s="11">
        <v>51720</v>
      </c>
      <c r="Y55" s="11">
        <v>6196</v>
      </c>
      <c r="Z55" s="11">
        <v>29278</v>
      </c>
      <c r="AA55" s="11"/>
      <c r="AB55" s="11"/>
      <c r="AC55" s="11">
        <v>-7432</v>
      </c>
      <c r="AD55" s="11">
        <v>45075</v>
      </c>
      <c r="AE55" s="11">
        <v>636</v>
      </c>
      <c r="AF55" s="11"/>
      <c r="AG55" s="11">
        <v>820929</v>
      </c>
      <c r="AH55" s="39">
        <v>293271</v>
      </c>
      <c r="AI55" s="11">
        <v>5783</v>
      </c>
      <c r="AJ55" s="11">
        <f t="shared" si="12"/>
        <v>2572425.199</v>
      </c>
    </row>
    <row r="56" spans="1:36" x14ac:dyDescent="0.25">
      <c r="A56" s="11" t="s">
        <v>252</v>
      </c>
      <c r="B56" s="11">
        <v>40906</v>
      </c>
      <c r="C56" s="11"/>
      <c r="D56" s="11"/>
      <c r="E56" s="11"/>
      <c r="F56" s="11">
        <v>37315</v>
      </c>
      <c r="G56" s="11">
        <v>57304</v>
      </c>
      <c r="H56" s="11">
        <v>19646</v>
      </c>
      <c r="I56" s="11"/>
      <c r="J56" s="11"/>
      <c r="K56" s="11"/>
      <c r="L56" s="11"/>
      <c r="M56" s="11">
        <v>14288</v>
      </c>
      <c r="N56" s="11"/>
      <c r="O56" s="11">
        <v>100674</v>
      </c>
      <c r="P56" s="11">
        <v>101329</v>
      </c>
      <c r="Q56" s="11">
        <v>82690</v>
      </c>
      <c r="R56" s="11"/>
      <c r="S56" s="11">
        <v>10533</v>
      </c>
      <c r="T56" s="11">
        <v>57</v>
      </c>
      <c r="U56" s="11"/>
      <c r="V56" s="11">
        <v>154727.42799999999</v>
      </c>
      <c r="W56" s="11">
        <v>1281783</v>
      </c>
      <c r="X56" s="11">
        <v>151963</v>
      </c>
      <c r="Y56" s="11">
        <v>17499</v>
      </c>
      <c r="Z56" s="11">
        <v>59207</v>
      </c>
      <c r="AA56" s="11"/>
      <c r="AB56" s="11"/>
      <c r="AC56" s="11">
        <v>9600</v>
      </c>
      <c r="AD56" s="11">
        <v>10162</v>
      </c>
      <c r="AE56" s="11">
        <v>1455</v>
      </c>
      <c r="AF56" s="11"/>
      <c r="AG56" s="11">
        <v>245498</v>
      </c>
      <c r="AH56" s="39">
        <v>159843</v>
      </c>
      <c r="AI56" s="11">
        <v>4806</v>
      </c>
      <c r="AJ56" s="11">
        <f t="shared" ref="AJ56:AJ57" si="13">SUM(B56:AI56)</f>
        <v>2561285.4279999998</v>
      </c>
    </row>
    <row r="57" spans="1:36" x14ac:dyDescent="0.25">
      <c r="A57" s="11" t="s">
        <v>253</v>
      </c>
      <c r="B57" s="11">
        <v>32750</v>
      </c>
      <c r="C57" s="11"/>
      <c r="D57" s="11"/>
      <c r="E57" s="11"/>
      <c r="F57" s="11">
        <v>30693</v>
      </c>
      <c r="G57" s="11">
        <v>38500</v>
      </c>
      <c r="H57" s="11">
        <v>11679</v>
      </c>
      <c r="I57" s="11"/>
      <c r="J57" s="11"/>
      <c r="K57" s="11"/>
      <c r="L57" s="11"/>
      <c r="M57" s="11">
        <v>16241</v>
      </c>
      <c r="N57" s="11"/>
      <c r="O57" s="11">
        <v>96480</v>
      </c>
      <c r="P57" s="11">
        <v>80383</v>
      </c>
      <c r="Q57" s="11">
        <v>53842</v>
      </c>
      <c r="R57" s="11"/>
      <c r="S57" s="11">
        <v>14577</v>
      </c>
      <c r="T57" s="11">
        <v>43</v>
      </c>
      <c r="U57" s="11"/>
      <c r="V57" s="11">
        <v>130068.60399999999</v>
      </c>
      <c r="W57" s="11">
        <v>1062858</v>
      </c>
      <c r="X57" s="11">
        <v>162648</v>
      </c>
      <c r="Y57" s="11">
        <v>11074</v>
      </c>
      <c r="Z57" s="11">
        <v>25189</v>
      </c>
      <c r="AA57" s="11"/>
      <c r="AB57" s="11"/>
      <c r="AC57" s="11">
        <v>8110</v>
      </c>
      <c r="AD57" s="11">
        <v>12388</v>
      </c>
      <c r="AE57" s="11">
        <v>787</v>
      </c>
      <c r="AF57" s="11"/>
      <c r="AG57" s="11">
        <v>374378</v>
      </c>
      <c r="AH57" s="39">
        <v>346472</v>
      </c>
      <c r="AI57" s="11">
        <v>2960</v>
      </c>
      <c r="AJ57" s="11">
        <f t="shared" si="13"/>
        <v>2512120.6040000003</v>
      </c>
    </row>
    <row r="59" spans="1:36" x14ac:dyDescent="0.25">
      <c r="A59" s="32" t="s">
        <v>246</v>
      </c>
    </row>
    <row r="60" spans="1:36" x14ac:dyDescent="0.25">
      <c r="A60" s="1" t="s">
        <v>0</v>
      </c>
      <c r="B60" s="50" t="s">
        <v>1</v>
      </c>
      <c r="C60" s="50" t="s">
        <v>2</v>
      </c>
      <c r="D60" s="50" t="s">
        <v>3</v>
      </c>
      <c r="E60" s="50" t="s">
        <v>4</v>
      </c>
      <c r="F60" s="50" t="s">
        <v>5</v>
      </c>
      <c r="G60" s="50" t="s">
        <v>6</v>
      </c>
      <c r="H60" s="50" t="s">
        <v>7</v>
      </c>
      <c r="I60" s="50" t="s">
        <v>8</v>
      </c>
      <c r="J60" s="50" t="s">
        <v>9</v>
      </c>
      <c r="K60" s="50" t="s">
        <v>10</v>
      </c>
      <c r="L60" s="50" t="s">
        <v>11</v>
      </c>
      <c r="M60" s="50" t="s">
        <v>12</v>
      </c>
      <c r="N60" s="50" t="s">
        <v>13</v>
      </c>
      <c r="O60" s="50" t="s">
        <v>14</v>
      </c>
      <c r="P60" s="50" t="s">
        <v>15</v>
      </c>
      <c r="Q60" s="50" t="s">
        <v>16</v>
      </c>
      <c r="R60" s="50" t="s">
        <v>17</v>
      </c>
      <c r="S60" s="50" t="s">
        <v>18</v>
      </c>
      <c r="T60" s="50" t="s">
        <v>19</v>
      </c>
      <c r="U60" s="50" t="s">
        <v>20</v>
      </c>
      <c r="V60" s="50" t="s">
        <v>21</v>
      </c>
      <c r="W60" s="50" t="s">
        <v>22</v>
      </c>
      <c r="X60" s="50" t="s">
        <v>23</v>
      </c>
      <c r="Y60" s="50" t="s">
        <v>24</v>
      </c>
      <c r="Z60" s="50" t="s">
        <v>25</v>
      </c>
      <c r="AA60" s="50" t="s">
        <v>26</v>
      </c>
      <c r="AB60" s="50" t="s">
        <v>27</v>
      </c>
      <c r="AC60" s="50" t="s">
        <v>28</v>
      </c>
      <c r="AD60" s="50" t="s">
        <v>29</v>
      </c>
      <c r="AE60" s="50" t="s">
        <v>30</v>
      </c>
      <c r="AF60" s="50" t="s">
        <v>31</v>
      </c>
      <c r="AG60" s="50" t="s">
        <v>32</v>
      </c>
      <c r="AH60" s="51" t="s">
        <v>33</v>
      </c>
      <c r="AI60" s="50" t="s">
        <v>34</v>
      </c>
      <c r="AJ60" s="50" t="s">
        <v>35</v>
      </c>
    </row>
    <row r="61" spans="1:36" x14ac:dyDescent="0.25">
      <c r="A61" s="11" t="s">
        <v>296</v>
      </c>
      <c r="B61" s="11"/>
      <c r="C61" s="11"/>
      <c r="D61" s="11"/>
      <c r="E61" s="11"/>
      <c r="F61" s="11">
        <v>25006</v>
      </c>
      <c r="G61" s="11"/>
      <c r="H61" s="11"/>
      <c r="I61" s="11"/>
      <c r="J61" s="11"/>
      <c r="K61" s="11"/>
      <c r="L61" s="11"/>
      <c r="M61" s="11"/>
      <c r="N61" s="11"/>
      <c r="O61" s="11">
        <v>41937</v>
      </c>
      <c r="P61" s="11">
        <v>218490</v>
      </c>
      <c r="Q61" s="11">
        <v>764</v>
      </c>
      <c r="R61" s="11"/>
      <c r="S61" s="11"/>
      <c r="T61" s="11"/>
      <c r="U61" s="11"/>
      <c r="V61" s="11">
        <v>318948.26893238403</v>
      </c>
      <c r="W61" s="11">
        <v>466861</v>
      </c>
      <c r="X61" s="11">
        <v>156646</v>
      </c>
      <c r="Y61" s="11"/>
      <c r="Z61" s="11">
        <v>63721</v>
      </c>
      <c r="AA61" s="11"/>
      <c r="AB61" s="11"/>
      <c r="AC61" s="11"/>
      <c r="AD61" s="11"/>
      <c r="AE61" s="11"/>
      <c r="AF61" s="11"/>
      <c r="AG61" s="11"/>
      <c r="AH61" s="39">
        <v>164630</v>
      </c>
      <c r="AI61" s="11"/>
      <c r="AJ61" s="11">
        <f>SUM(B61:AI61)</f>
        <v>1457003.268932384</v>
      </c>
    </row>
    <row r="62" spans="1:36" x14ac:dyDescent="0.25">
      <c r="A62" s="11" t="s">
        <v>299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>
        <v>19804</v>
      </c>
      <c r="Q62" s="11"/>
      <c r="R62" s="11"/>
      <c r="S62" s="11"/>
      <c r="T62" s="11"/>
      <c r="U62" s="11"/>
      <c r="V62" s="11">
        <v>129390.087</v>
      </c>
      <c r="W62" s="11">
        <v>337083</v>
      </c>
      <c r="X62" s="11">
        <v>206668</v>
      </c>
      <c r="Y62" s="11"/>
      <c r="Z62" s="11"/>
      <c r="AA62" s="11"/>
      <c r="AB62" s="11"/>
      <c r="AC62" s="11"/>
      <c r="AD62" s="11"/>
      <c r="AE62" s="11"/>
      <c r="AF62" s="11"/>
      <c r="AG62" s="11"/>
      <c r="AH62" s="39">
        <v>325885</v>
      </c>
      <c r="AI62" s="11"/>
      <c r="AJ62" s="11">
        <f t="shared" ref="AJ62:AJ63" si="14">SUM(B62:AI62)</f>
        <v>1018830.0870000001</v>
      </c>
    </row>
    <row r="63" spans="1:36" x14ac:dyDescent="0.25">
      <c r="A63" s="11" t="s">
        <v>300</v>
      </c>
      <c r="B63" s="11"/>
      <c r="C63" s="11"/>
      <c r="D63" s="11"/>
      <c r="E63" s="11"/>
      <c r="F63" s="11">
        <v>23338</v>
      </c>
      <c r="G63" s="11"/>
      <c r="H63" s="11"/>
      <c r="I63" s="11"/>
      <c r="J63" s="11"/>
      <c r="K63" s="11"/>
      <c r="L63" s="11"/>
      <c r="M63" s="11"/>
      <c r="N63" s="11"/>
      <c r="O63" s="11">
        <v>-41965</v>
      </c>
      <c r="P63" s="11">
        <v>213194</v>
      </c>
      <c r="Q63" s="11">
        <v>489</v>
      </c>
      <c r="R63" s="11"/>
      <c r="S63" s="11"/>
      <c r="T63" s="11"/>
      <c r="U63" s="11"/>
      <c r="V63" s="11">
        <v>270408.06599999999</v>
      </c>
      <c r="W63" s="11">
        <v>394741</v>
      </c>
      <c r="X63" s="11">
        <v>227176</v>
      </c>
      <c r="Y63" s="11"/>
      <c r="Z63" s="11">
        <v>63659</v>
      </c>
      <c r="AA63" s="11"/>
      <c r="AB63" s="11"/>
      <c r="AC63" s="11"/>
      <c r="AD63" s="11"/>
      <c r="AE63" s="11"/>
      <c r="AF63" s="11"/>
      <c r="AG63" s="11"/>
      <c r="AH63" s="39">
        <v>189537</v>
      </c>
      <c r="AI63" s="11"/>
      <c r="AJ63" s="11">
        <f t="shared" si="14"/>
        <v>1340577.0660000001</v>
      </c>
    </row>
    <row r="64" spans="1:36" x14ac:dyDescent="0.25">
      <c r="A64" s="11" t="s">
        <v>252</v>
      </c>
      <c r="B64" s="11"/>
      <c r="C64" s="11"/>
      <c r="D64" s="11"/>
      <c r="E64" s="11"/>
      <c r="F64" s="11">
        <v>1668</v>
      </c>
      <c r="G64" s="11"/>
      <c r="H64" s="11"/>
      <c r="I64" s="11"/>
      <c r="J64" s="11"/>
      <c r="K64" s="11"/>
      <c r="L64" s="11"/>
      <c r="M64" s="11"/>
      <c r="N64" s="11"/>
      <c r="O64" s="11">
        <v>-28</v>
      </c>
      <c r="P64" s="11">
        <v>25100</v>
      </c>
      <c r="Q64" s="11">
        <v>275</v>
      </c>
      <c r="R64" s="11"/>
      <c r="S64" s="11"/>
      <c r="T64" s="11"/>
      <c r="U64" s="11"/>
      <c r="V64" s="11">
        <v>177930.28993238404</v>
      </c>
      <c r="W64" s="11">
        <v>409203</v>
      </c>
      <c r="X64" s="11">
        <v>136138</v>
      </c>
      <c r="Y64" s="11"/>
      <c r="Z64" s="11">
        <v>62</v>
      </c>
      <c r="AA64" s="11"/>
      <c r="AB64" s="11"/>
      <c r="AC64" s="11"/>
      <c r="AD64" s="11"/>
      <c r="AE64" s="11"/>
      <c r="AF64" s="11"/>
      <c r="AG64" s="11"/>
      <c r="AH64" s="39">
        <v>300978</v>
      </c>
      <c r="AI64" s="11"/>
      <c r="AJ64" s="11">
        <f t="shared" ref="AJ64:AJ65" si="15">SUM(B64:AI64)</f>
        <v>1051326.2899323842</v>
      </c>
    </row>
    <row r="65" spans="1:36" x14ac:dyDescent="0.25">
      <c r="A65" s="11" t="s">
        <v>253</v>
      </c>
      <c r="B65" s="11"/>
      <c r="C65" s="11"/>
      <c r="D65" s="11"/>
      <c r="E65" s="11"/>
      <c r="F65" s="11">
        <v>23942</v>
      </c>
      <c r="G65" s="11"/>
      <c r="H65" s="11"/>
      <c r="I65" s="11"/>
      <c r="J65" s="11"/>
      <c r="K65" s="11"/>
      <c r="L65" s="11"/>
      <c r="M65" s="11"/>
      <c r="N65" s="11"/>
      <c r="O65" s="11">
        <v>105</v>
      </c>
      <c r="P65" s="11">
        <v>23314</v>
      </c>
      <c r="Q65" s="11">
        <v>347</v>
      </c>
      <c r="R65" s="11"/>
      <c r="S65" s="11"/>
      <c r="T65" s="11"/>
      <c r="U65" s="11"/>
      <c r="V65" s="11">
        <v>73294.82793238404</v>
      </c>
      <c r="W65" s="11">
        <v>402699</v>
      </c>
      <c r="X65" s="11">
        <v>135077</v>
      </c>
      <c r="Y65" s="11"/>
      <c r="Z65" s="11">
        <v>162</v>
      </c>
      <c r="AA65" s="11"/>
      <c r="AB65" s="11"/>
      <c r="AC65" s="11"/>
      <c r="AD65" s="11"/>
      <c r="AE65" s="11"/>
      <c r="AF65" s="11"/>
      <c r="AG65" s="11"/>
      <c r="AH65" s="39">
        <v>127601</v>
      </c>
      <c r="AI65" s="11"/>
      <c r="AJ65" s="11">
        <f t="shared" si="15"/>
        <v>786541.8279323841</v>
      </c>
    </row>
    <row r="67" spans="1:36" x14ac:dyDescent="0.25">
      <c r="A67" s="32" t="s">
        <v>247</v>
      </c>
    </row>
    <row r="68" spans="1:36" x14ac:dyDescent="0.25">
      <c r="A68" s="1" t="s">
        <v>0</v>
      </c>
      <c r="B68" s="50" t="s">
        <v>1</v>
      </c>
      <c r="C68" s="50" t="s">
        <v>2</v>
      </c>
      <c r="D68" s="50" t="s">
        <v>3</v>
      </c>
      <c r="E68" s="50" t="s">
        <v>4</v>
      </c>
      <c r="F68" s="50" t="s">
        <v>5</v>
      </c>
      <c r="G68" s="50" t="s">
        <v>6</v>
      </c>
      <c r="H68" s="50" t="s">
        <v>7</v>
      </c>
      <c r="I68" s="50" t="s">
        <v>8</v>
      </c>
      <c r="J68" s="50" t="s">
        <v>9</v>
      </c>
      <c r="K68" s="50" t="s">
        <v>10</v>
      </c>
      <c r="L68" s="50" t="s">
        <v>11</v>
      </c>
      <c r="M68" s="50" t="s">
        <v>12</v>
      </c>
      <c r="N68" s="50" t="s">
        <v>13</v>
      </c>
      <c r="O68" s="50" t="s">
        <v>14</v>
      </c>
      <c r="P68" s="50" t="s">
        <v>15</v>
      </c>
      <c r="Q68" s="50" t="s">
        <v>16</v>
      </c>
      <c r="R68" s="50" t="s">
        <v>17</v>
      </c>
      <c r="S68" s="50" t="s">
        <v>18</v>
      </c>
      <c r="T68" s="50" t="s">
        <v>19</v>
      </c>
      <c r="U68" s="50" t="s">
        <v>20</v>
      </c>
      <c r="V68" s="50" t="s">
        <v>21</v>
      </c>
      <c r="W68" s="50" t="s">
        <v>22</v>
      </c>
      <c r="X68" s="50" t="s">
        <v>23</v>
      </c>
      <c r="Y68" s="50" t="s">
        <v>24</v>
      </c>
      <c r="Z68" s="50" t="s">
        <v>25</v>
      </c>
      <c r="AA68" s="50" t="s">
        <v>26</v>
      </c>
      <c r="AB68" s="50" t="s">
        <v>27</v>
      </c>
      <c r="AC68" s="50" t="s">
        <v>28</v>
      </c>
      <c r="AD68" s="50" t="s">
        <v>29</v>
      </c>
      <c r="AE68" s="50" t="s">
        <v>30</v>
      </c>
      <c r="AF68" s="50" t="s">
        <v>31</v>
      </c>
      <c r="AG68" s="50" t="s">
        <v>32</v>
      </c>
      <c r="AH68" s="51" t="s">
        <v>33</v>
      </c>
      <c r="AI68" s="50" t="s">
        <v>34</v>
      </c>
      <c r="AJ68" s="50" t="s">
        <v>35</v>
      </c>
    </row>
    <row r="69" spans="1:36" x14ac:dyDescent="0.25">
      <c r="A69" s="11" t="s">
        <v>296</v>
      </c>
      <c r="B69" s="11">
        <f t="shared" ref="B69:AI69" si="16">B77-B61-B53-B45-B37-B29-B21-B13-B5</f>
        <v>0</v>
      </c>
      <c r="C69" s="11">
        <f t="shared" si="16"/>
        <v>0</v>
      </c>
      <c r="D69" s="11">
        <f t="shared" si="16"/>
        <v>976748</v>
      </c>
      <c r="E69" s="11">
        <f t="shared" si="16"/>
        <v>119016</v>
      </c>
      <c r="F69" s="11">
        <f t="shared" si="16"/>
        <v>-331808</v>
      </c>
      <c r="G69" s="11">
        <f t="shared" si="16"/>
        <v>110782</v>
      </c>
      <c r="H69" s="11">
        <f t="shared" si="16"/>
        <v>148245</v>
      </c>
      <c r="I69" s="11">
        <f t="shared" si="16"/>
        <v>0</v>
      </c>
      <c r="J69" s="11">
        <f t="shared" si="16"/>
        <v>2316</v>
      </c>
      <c r="K69" s="11">
        <f t="shared" si="16"/>
        <v>498</v>
      </c>
      <c r="L69" s="11">
        <f t="shared" si="16"/>
        <v>2588913.91</v>
      </c>
      <c r="M69" s="11">
        <f t="shared" si="16"/>
        <v>409920</v>
      </c>
      <c r="N69" s="11">
        <f t="shared" si="16"/>
        <v>38549</v>
      </c>
      <c r="O69" s="11">
        <f t="shared" si="16"/>
        <v>1083948</v>
      </c>
      <c r="P69" s="11">
        <f t="shared" si="16"/>
        <v>2105830</v>
      </c>
      <c r="Q69" s="11">
        <f t="shared" si="16"/>
        <v>3242474</v>
      </c>
      <c r="R69" s="11">
        <f t="shared" si="16"/>
        <v>21437</v>
      </c>
      <c r="S69" s="11">
        <f t="shared" si="16"/>
        <v>213200</v>
      </c>
      <c r="T69" s="11">
        <f t="shared" si="16"/>
        <v>38318</v>
      </c>
      <c r="U69" s="11">
        <f t="shared" si="16"/>
        <v>0</v>
      </c>
      <c r="V69" s="11">
        <f t="shared" si="16"/>
        <v>1250240.6473050145</v>
      </c>
      <c r="W69" s="11">
        <f t="shared" si="16"/>
        <v>3326056</v>
      </c>
      <c r="X69" s="11">
        <f t="shared" si="16"/>
        <v>7464824</v>
      </c>
      <c r="Y69" s="11">
        <f t="shared" si="16"/>
        <v>111353</v>
      </c>
      <c r="Z69" s="11">
        <f t="shared" si="16"/>
        <v>1729223</v>
      </c>
      <c r="AA69" s="11">
        <f t="shared" si="16"/>
        <v>0</v>
      </c>
      <c r="AB69" s="11">
        <f t="shared" si="16"/>
        <v>0</v>
      </c>
      <c r="AC69" s="11">
        <f t="shared" si="16"/>
        <v>86567</v>
      </c>
      <c r="AD69" s="11">
        <f t="shared" si="16"/>
        <v>4375895</v>
      </c>
      <c r="AE69" s="11">
        <f t="shared" si="16"/>
        <v>32347</v>
      </c>
      <c r="AF69" s="11">
        <f t="shared" si="16"/>
        <v>11608640</v>
      </c>
      <c r="AG69" s="11">
        <f t="shared" si="16"/>
        <v>3239602</v>
      </c>
      <c r="AH69" s="11">
        <f t="shared" si="16"/>
        <v>1549251</v>
      </c>
      <c r="AI69" s="11">
        <f t="shared" si="16"/>
        <v>394900</v>
      </c>
      <c r="AJ69" s="11">
        <f>SUM(B69:AI69)</f>
        <v>45937285.557305016</v>
      </c>
    </row>
    <row r="70" spans="1:36" x14ac:dyDescent="0.25">
      <c r="A70" s="11" t="s">
        <v>299</v>
      </c>
      <c r="B70" s="11">
        <f t="shared" ref="B70:AI70" si="17">B78-B62-B54-B46-B38-B30-B22-B14-B6</f>
        <v>0</v>
      </c>
      <c r="C70" s="11">
        <f t="shared" si="17"/>
        <v>0</v>
      </c>
      <c r="D70" s="11">
        <f t="shared" si="17"/>
        <v>0</v>
      </c>
      <c r="E70" s="11">
        <f t="shared" si="17"/>
        <v>0</v>
      </c>
      <c r="F70" s="11">
        <f t="shared" si="17"/>
        <v>370</v>
      </c>
      <c r="G70" s="11">
        <f t="shared" si="17"/>
        <v>0</v>
      </c>
      <c r="H70" s="11">
        <f t="shared" si="17"/>
        <v>0</v>
      </c>
      <c r="I70" s="11">
        <f t="shared" si="17"/>
        <v>0</v>
      </c>
      <c r="J70" s="11">
        <f t="shared" si="17"/>
        <v>0</v>
      </c>
      <c r="K70" s="11">
        <f t="shared" si="17"/>
        <v>0</v>
      </c>
      <c r="L70" s="11">
        <f t="shared" si="17"/>
        <v>0</v>
      </c>
      <c r="M70" s="11">
        <f t="shared" si="17"/>
        <v>-1</v>
      </c>
      <c r="N70" s="11">
        <f t="shared" si="17"/>
        <v>4689</v>
      </c>
      <c r="O70" s="11">
        <f t="shared" si="17"/>
        <v>69595</v>
      </c>
      <c r="P70" s="11">
        <f t="shared" si="17"/>
        <v>17711</v>
      </c>
      <c r="Q70" s="11">
        <f t="shared" si="17"/>
        <v>7574</v>
      </c>
      <c r="R70" s="11">
        <f t="shared" si="17"/>
        <v>0</v>
      </c>
      <c r="S70" s="11">
        <f t="shared" si="17"/>
        <v>1</v>
      </c>
      <c r="T70" s="11">
        <f t="shared" si="17"/>
        <v>0</v>
      </c>
      <c r="U70" s="11">
        <f t="shared" si="17"/>
        <v>0</v>
      </c>
      <c r="V70" s="11">
        <f t="shared" si="17"/>
        <v>79580.057962432038</v>
      </c>
      <c r="W70" s="11">
        <f t="shared" si="17"/>
        <v>28598</v>
      </c>
      <c r="X70" s="11">
        <f t="shared" si="17"/>
        <v>9124</v>
      </c>
      <c r="Y70" s="11">
        <f t="shared" si="17"/>
        <v>44001</v>
      </c>
      <c r="Z70" s="11">
        <f t="shared" si="17"/>
        <v>7604735</v>
      </c>
      <c r="AA70" s="11">
        <f t="shared" si="17"/>
        <v>0</v>
      </c>
      <c r="AB70" s="11">
        <f t="shared" si="17"/>
        <v>0</v>
      </c>
      <c r="AC70" s="11">
        <f t="shared" si="17"/>
        <v>8930</v>
      </c>
      <c r="AD70" s="11">
        <f t="shared" si="17"/>
        <v>0</v>
      </c>
      <c r="AE70" s="11">
        <f t="shared" si="17"/>
        <v>-1</v>
      </c>
      <c r="AF70" s="11">
        <f t="shared" si="17"/>
        <v>0</v>
      </c>
      <c r="AG70" s="11">
        <f t="shared" si="17"/>
        <v>0</v>
      </c>
      <c r="AH70" s="11">
        <f t="shared" si="17"/>
        <v>-162594</v>
      </c>
      <c r="AI70" s="11">
        <f t="shared" si="17"/>
        <v>0</v>
      </c>
      <c r="AJ70" s="11">
        <f t="shared" ref="AJ70:AJ71" si="18">SUM(B70:AI70)</f>
        <v>7712312.0579624325</v>
      </c>
    </row>
    <row r="71" spans="1:36" x14ac:dyDescent="0.25">
      <c r="A71" s="11" t="s">
        <v>300</v>
      </c>
      <c r="B71" s="11">
        <f t="shared" ref="B71:AI71" si="19">B79-B63-B55-B47-B39-B31-B23-B15-B7</f>
        <v>0</v>
      </c>
      <c r="C71" s="11">
        <f t="shared" si="19"/>
        <v>0</v>
      </c>
      <c r="D71" s="11">
        <f t="shared" si="19"/>
        <v>756903</v>
      </c>
      <c r="E71" s="11">
        <f t="shared" si="19"/>
        <v>14612</v>
      </c>
      <c r="F71" s="11">
        <f t="shared" si="19"/>
        <v>3332957</v>
      </c>
      <c r="G71" s="11">
        <f t="shared" si="19"/>
        <v>60770</v>
      </c>
      <c r="H71" s="11">
        <f t="shared" si="19"/>
        <v>52936</v>
      </c>
      <c r="I71" s="11">
        <f t="shared" si="19"/>
        <v>0</v>
      </c>
      <c r="J71" s="11">
        <f t="shared" si="19"/>
        <v>-448</v>
      </c>
      <c r="K71" s="11">
        <f t="shared" si="19"/>
        <v>47</v>
      </c>
      <c r="L71" s="11">
        <f t="shared" si="19"/>
        <v>843935.37</v>
      </c>
      <c r="M71" s="11">
        <f t="shared" si="19"/>
        <v>113988</v>
      </c>
      <c r="N71" s="11">
        <f t="shared" si="19"/>
        <v>8431</v>
      </c>
      <c r="O71" s="11">
        <f t="shared" si="19"/>
        <v>-946546</v>
      </c>
      <c r="P71" s="11">
        <f t="shared" si="19"/>
        <v>1059127</v>
      </c>
      <c r="Q71" s="11">
        <f t="shared" si="19"/>
        <v>2327369</v>
      </c>
      <c r="R71" s="11">
        <f t="shared" si="19"/>
        <v>7642</v>
      </c>
      <c r="S71" s="11">
        <f t="shared" si="19"/>
        <v>163768</v>
      </c>
      <c r="T71" s="11">
        <f t="shared" si="19"/>
        <v>-32311</v>
      </c>
      <c r="U71" s="11">
        <f t="shared" si="19"/>
        <v>0</v>
      </c>
      <c r="V71" s="11">
        <f t="shared" si="19"/>
        <v>396170.65155850421</v>
      </c>
      <c r="W71" s="11">
        <f t="shared" si="19"/>
        <v>747128</v>
      </c>
      <c r="X71" s="11">
        <f t="shared" si="19"/>
        <v>5041771</v>
      </c>
      <c r="Y71" s="11">
        <f t="shared" si="19"/>
        <v>60764</v>
      </c>
      <c r="Z71" s="11">
        <f t="shared" si="19"/>
        <v>5567965</v>
      </c>
      <c r="AA71" s="11">
        <f t="shared" si="19"/>
        <v>0</v>
      </c>
      <c r="AB71" s="11">
        <f t="shared" si="19"/>
        <v>0</v>
      </c>
      <c r="AC71" s="11">
        <f t="shared" si="19"/>
        <v>-40081</v>
      </c>
      <c r="AD71" s="11">
        <f t="shared" si="19"/>
        <v>3391142</v>
      </c>
      <c r="AE71" s="11">
        <f t="shared" si="19"/>
        <v>4994</v>
      </c>
      <c r="AF71" s="11">
        <f t="shared" si="19"/>
        <v>2738883</v>
      </c>
      <c r="AG71" s="11">
        <f t="shared" si="19"/>
        <v>1909421</v>
      </c>
      <c r="AH71" s="11">
        <f t="shared" si="19"/>
        <v>322040</v>
      </c>
      <c r="AI71" s="11">
        <f t="shared" si="19"/>
        <v>237455</v>
      </c>
      <c r="AJ71" s="11">
        <f t="shared" si="18"/>
        <v>28140833.021558505</v>
      </c>
    </row>
    <row r="72" spans="1:36" x14ac:dyDescent="0.25">
      <c r="A72" s="11" t="s">
        <v>252</v>
      </c>
      <c r="B72" s="11">
        <f t="shared" ref="B72:AI72" si="20">B80-B64-B56-B48-B40-B32-B24-B16-B8</f>
        <v>0</v>
      </c>
      <c r="C72" s="11">
        <f t="shared" si="20"/>
        <v>0</v>
      </c>
      <c r="D72" s="11">
        <f t="shared" si="20"/>
        <v>219845</v>
      </c>
      <c r="E72" s="11">
        <f t="shared" si="20"/>
        <v>104404</v>
      </c>
      <c r="F72" s="11">
        <f t="shared" si="20"/>
        <v>1077497</v>
      </c>
      <c r="G72" s="11">
        <f t="shared" si="20"/>
        <v>50012</v>
      </c>
      <c r="H72" s="11">
        <f t="shared" si="20"/>
        <v>95309</v>
      </c>
      <c r="I72" s="11">
        <f t="shared" si="20"/>
        <v>0</v>
      </c>
      <c r="J72" s="11">
        <f t="shared" si="20"/>
        <v>1868</v>
      </c>
      <c r="K72" s="11">
        <f t="shared" si="20"/>
        <v>451</v>
      </c>
      <c r="L72" s="11">
        <f t="shared" si="20"/>
        <v>1744978.54</v>
      </c>
      <c r="M72" s="11">
        <f t="shared" si="20"/>
        <v>295935</v>
      </c>
      <c r="N72" s="11">
        <f t="shared" si="20"/>
        <v>34809</v>
      </c>
      <c r="O72" s="11">
        <f t="shared" si="20"/>
        <v>339347</v>
      </c>
      <c r="P72" s="11">
        <f t="shared" si="20"/>
        <v>1064414</v>
      </c>
      <c r="Q72" s="11">
        <f t="shared" si="20"/>
        <v>922679</v>
      </c>
      <c r="R72" s="11">
        <f t="shared" si="20"/>
        <v>13795</v>
      </c>
      <c r="S72" s="11">
        <f t="shared" si="20"/>
        <v>49433</v>
      </c>
      <c r="T72" s="11">
        <f t="shared" si="20"/>
        <v>6007</v>
      </c>
      <c r="U72" s="11">
        <f t="shared" si="20"/>
        <v>0</v>
      </c>
      <c r="V72" s="11">
        <f t="shared" si="20"/>
        <v>933650.05370894354</v>
      </c>
      <c r="W72" s="11">
        <f t="shared" si="20"/>
        <v>2607525</v>
      </c>
      <c r="X72" s="11">
        <f t="shared" si="20"/>
        <v>2432177</v>
      </c>
      <c r="Y72" s="11">
        <f t="shared" si="20"/>
        <v>94590</v>
      </c>
      <c r="Z72" s="11">
        <f t="shared" si="20"/>
        <v>501810</v>
      </c>
      <c r="AA72" s="11">
        <f t="shared" si="20"/>
        <v>0</v>
      </c>
      <c r="AB72" s="11">
        <f t="shared" si="20"/>
        <v>0</v>
      </c>
      <c r="AC72" s="11">
        <f t="shared" si="20"/>
        <v>55416</v>
      </c>
      <c r="AD72" s="11">
        <f t="shared" si="20"/>
        <v>984753</v>
      </c>
      <c r="AE72" s="11">
        <f t="shared" si="20"/>
        <v>27350</v>
      </c>
      <c r="AF72" s="11">
        <f t="shared" si="20"/>
        <v>8869758</v>
      </c>
      <c r="AG72" s="11">
        <f t="shared" si="20"/>
        <v>1330181</v>
      </c>
      <c r="AH72" s="11">
        <f t="shared" si="20"/>
        <v>1064617</v>
      </c>
      <c r="AI72" s="11">
        <f t="shared" si="20"/>
        <v>157445</v>
      </c>
      <c r="AJ72" s="11">
        <f t="shared" ref="AJ72:AJ73" si="21">SUM(B72:AI72)</f>
        <v>25080055.593708944</v>
      </c>
    </row>
    <row r="73" spans="1:36" x14ac:dyDescent="0.25">
      <c r="A73" s="11" t="s">
        <v>253</v>
      </c>
      <c r="B73" s="11">
        <f t="shared" ref="B73:AI73" si="22">B81-B65-B57-B49-B41-B33-B25-B17-B9</f>
        <v>0</v>
      </c>
      <c r="C73" s="11">
        <f t="shared" si="22"/>
        <v>0</v>
      </c>
      <c r="D73" s="11">
        <f t="shared" si="22"/>
        <v>1003688</v>
      </c>
      <c r="E73" s="11">
        <f t="shared" si="22"/>
        <v>92346</v>
      </c>
      <c r="F73" s="11">
        <f t="shared" si="22"/>
        <v>574375</v>
      </c>
      <c r="G73" s="11">
        <f t="shared" si="22"/>
        <v>76272</v>
      </c>
      <c r="H73" s="11">
        <f t="shared" si="22"/>
        <v>172337</v>
      </c>
      <c r="I73" s="11">
        <f t="shared" si="22"/>
        <v>0</v>
      </c>
      <c r="J73" s="11">
        <f t="shared" si="22"/>
        <v>768</v>
      </c>
      <c r="K73" s="11">
        <f t="shared" si="22"/>
        <v>496</v>
      </c>
      <c r="L73" s="11">
        <f t="shared" si="22"/>
        <v>1690693.64</v>
      </c>
      <c r="M73" s="11">
        <f t="shared" si="22"/>
        <v>399034</v>
      </c>
      <c r="N73" s="11">
        <f t="shared" si="22"/>
        <v>25686</v>
      </c>
      <c r="O73" s="11">
        <f t="shared" si="22"/>
        <v>478405</v>
      </c>
      <c r="P73" s="11">
        <f t="shared" si="22"/>
        <v>848901</v>
      </c>
      <c r="Q73" s="11">
        <f t="shared" si="22"/>
        <v>384063</v>
      </c>
      <c r="R73" s="11">
        <f t="shared" si="22"/>
        <v>5804</v>
      </c>
      <c r="S73" s="11">
        <f t="shared" si="22"/>
        <v>77351</v>
      </c>
      <c r="T73" s="11">
        <f t="shared" si="22"/>
        <v>7409</v>
      </c>
      <c r="U73" s="11">
        <f t="shared" si="22"/>
        <v>0</v>
      </c>
      <c r="V73" s="11">
        <f t="shared" si="22"/>
        <v>1515097.6021589469</v>
      </c>
      <c r="W73" s="11">
        <f t="shared" si="22"/>
        <v>2075247</v>
      </c>
      <c r="X73" s="11">
        <f t="shared" si="22"/>
        <v>2172140</v>
      </c>
      <c r="Y73" s="11">
        <f t="shared" si="22"/>
        <v>73330</v>
      </c>
      <c r="Z73" s="11">
        <f t="shared" si="22"/>
        <v>517899</v>
      </c>
      <c r="AA73" s="11">
        <f t="shared" si="22"/>
        <v>0</v>
      </c>
      <c r="AB73" s="11">
        <f t="shared" si="22"/>
        <v>0</v>
      </c>
      <c r="AC73" s="11">
        <f t="shared" si="22"/>
        <v>47157</v>
      </c>
      <c r="AD73" s="11">
        <f t="shared" si="22"/>
        <v>1207813</v>
      </c>
      <c r="AE73" s="11">
        <f t="shared" si="22"/>
        <v>30044</v>
      </c>
      <c r="AF73" s="11">
        <f t="shared" si="22"/>
        <v>8147656</v>
      </c>
      <c r="AG73" s="11">
        <f t="shared" si="22"/>
        <v>1319787</v>
      </c>
      <c r="AH73" s="11">
        <f t="shared" si="22"/>
        <v>1213224</v>
      </c>
      <c r="AI73" s="11">
        <f t="shared" si="22"/>
        <v>327031</v>
      </c>
      <c r="AJ73" s="11">
        <f t="shared" si="21"/>
        <v>24484054.242158946</v>
      </c>
    </row>
    <row r="75" spans="1:36" x14ac:dyDescent="0.25">
      <c r="A75" s="32" t="s">
        <v>57</v>
      </c>
    </row>
    <row r="76" spans="1:36" x14ac:dyDescent="0.25">
      <c r="A76" s="1" t="s">
        <v>0</v>
      </c>
      <c r="B76" s="50" t="s">
        <v>1</v>
      </c>
      <c r="C76" s="50" t="s">
        <v>2</v>
      </c>
      <c r="D76" s="50" t="s">
        <v>3</v>
      </c>
      <c r="E76" s="50" t="s">
        <v>4</v>
      </c>
      <c r="F76" s="50" t="s">
        <v>5</v>
      </c>
      <c r="G76" s="50" t="s">
        <v>6</v>
      </c>
      <c r="H76" s="50" t="s">
        <v>7</v>
      </c>
      <c r="I76" s="50" t="s">
        <v>8</v>
      </c>
      <c r="J76" s="50" t="s">
        <v>9</v>
      </c>
      <c r="K76" s="50" t="s">
        <v>10</v>
      </c>
      <c r="L76" s="50" t="s">
        <v>11</v>
      </c>
      <c r="M76" s="50" t="s">
        <v>12</v>
      </c>
      <c r="N76" s="50" t="s">
        <v>13</v>
      </c>
      <c r="O76" s="50" t="s">
        <v>14</v>
      </c>
      <c r="P76" s="50" t="s">
        <v>15</v>
      </c>
      <c r="Q76" s="50" t="s">
        <v>16</v>
      </c>
      <c r="R76" s="50" t="s">
        <v>17</v>
      </c>
      <c r="S76" s="50" t="s">
        <v>18</v>
      </c>
      <c r="T76" s="50" t="s">
        <v>19</v>
      </c>
      <c r="U76" s="50" t="s">
        <v>20</v>
      </c>
      <c r="V76" s="50" t="s">
        <v>21</v>
      </c>
      <c r="W76" s="50" t="s">
        <v>22</v>
      </c>
      <c r="X76" s="50" t="s">
        <v>23</v>
      </c>
      <c r="Y76" s="50" t="s">
        <v>24</v>
      </c>
      <c r="Z76" s="50" t="s">
        <v>25</v>
      </c>
      <c r="AA76" s="50" t="s">
        <v>26</v>
      </c>
      <c r="AB76" s="50" t="s">
        <v>27</v>
      </c>
      <c r="AC76" s="50" t="s">
        <v>28</v>
      </c>
      <c r="AD76" s="50" t="s">
        <v>29</v>
      </c>
      <c r="AE76" s="50" t="s">
        <v>30</v>
      </c>
      <c r="AF76" s="50" t="s">
        <v>31</v>
      </c>
      <c r="AG76" s="50" t="s">
        <v>32</v>
      </c>
      <c r="AH76" s="51" t="s">
        <v>33</v>
      </c>
      <c r="AI76" s="50" t="s">
        <v>34</v>
      </c>
      <c r="AJ76" s="50" t="s">
        <v>35</v>
      </c>
    </row>
    <row r="77" spans="1:36" x14ac:dyDescent="0.25">
      <c r="A77" s="11" t="s">
        <v>296</v>
      </c>
      <c r="B77" s="11">
        <v>669376</v>
      </c>
      <c r="C77" s="11">
        <v>1430996</v>
      </c>
      <c r="D77" s="11">
        <v>976748</v>
      </c>
      <c r="E77" s="11">
        <v>4866119</v>
      </c>
      <c r="F77" s="11">
        <v>23937601</v>
      </c>
      <c r="G77" s="11">
        <v>5783213</v>
      </c>
      <c r="H77" s="11">
        <v>11008604</v>
      </c>
      <c r="I77" s="11">
        <v>1259681</v>
      </c>
      <c r="J77" s="11">
        <v>414732</v>
      </c>
      <c r="K77" s="11">
        <v>181453</v>
      </c>
      <c r="L77" s="11">
        <v>2588913.91</v>
      </c>
      <c r="M77" s="11">
        <v>5840483</v>
      </c>
      <c r="N77" s="11">
        <v>3790657</v>
      </c>
      <c r="O77" s="11">
        <v>17764762</v>
      </c>
      <c r="P77" s="11">
        <v>34868755</v>
      </c>
      <c r="Q77" s="11">
        <v>18906248</v>
      </c>
      <c r="R77" s="11">
        <v>820510</v>
      </c>
      <c r="S77" s="11">
        <v>3710282</v>
      </c>
      <c r="T77" s="11">
        <v>2657146</v>
      </c>
      <c r="U77" s="11">
        <v>2504588</v>
      </c>
      <c r="V77" s="11">
        <v>31569826.841782544</v>
      </c>
      <c r="W77" s="11">
        <v>74666288</v>
      </c>
      <c r="X77" s="11">
        <v>34822267</v>
      </c>
      <c r="Y77" s="11">
        <v>248893</v>
      </c>
      <c r="Z77" s="11">
        <v>19712274</v>
      </c>
      <c r="AA77" s="11">
        <v>35317</v>
      </c>
      <c r="AB77" s="11">
        <v>5754030</v>
      </c>
      <c r="AC77" s="11">
        <v>7178341</v>
      </c>
      <c r="AD77" s="11">
        <v>12773105</v>
      </c>
      <c r="AE77" s="11">
        <v>5450311</v>
      </c>
      <c r="AF77" s="11">
        <v>11608640</v>
      </c>
      <c r="AG77" s="11">
        <v>21550502</v>
      </c>
      <c r="AH77" s="39">
        <v>36957350</v>
      </c>
      <c r="AI77" s="11">
        <v>3589500</v>
      </c>
      <c r="AJ77" s="11">
        <f>SUM(B77:AI77)</f>
        <v>409897512.75178254</v>
      </c>
    </row>
    <row r="78" spans="1:36" x14ac:dyDescent="0.25">
      <c r="A78" s="11" t="s">
        <v>299</v>
      </c>
      <c r="B78" s="11"/>
      <c r="C78" s="11"/>
      <c r="D78" s="11">
        <v>0</v>
      </c>
      <c r="E78" s="11"/>
      <c r="F78" s="11">
        <v>203572</v>
      </c>
      <c r="G78" s="11">
        <v>101400</v>
      </c>
      <c r="H78" s="11">
        <v>29478</v>
      </c>
      <c r="I78" s="11"/>
      <c r="J78" s="11">
        <v>1639</v>
      </c>
      <c r="K78" s="11">
        <v>30383</v>
      </c>
      <c r="L78" s="11"/>
      <c r="M78" s="11">
        <v>364074</v>
      </c>
      <c r="N78" s="11">
        <v>813275</v>
      </c>
      <c r="O78" s="11">
        <v>577490</v>
      </c>
      <c r="P78" s="11">
        <v>737829</v>
      </c>
      <c r="Q78" s="11">
        <v>321513</v>
      </c>
      <c r="R78" s="11">
        <v>8191</v>
      </c>
      <c r="S78" s="11">
        <v>99813</v>
      </c>
      <c r="T78" s="11">
        <v>241507</v>
      </c>
      <c r="U78" s="11"/>
      <c r="V78" s="11">
        <v>910045.32589368813</v>
      </c>
      <c r="W78" s="11">
        <v>3940122</v>
      </c>
      <c r="X78" s="11">
        <v>520079</v>
      </c>
      <c r="Y78" s="11">
        <v>51000</v>
      </c>
      <c r="Z78" s="11">
        <v>7767235</v>
      </c>
      <c r="AA78" s="11"/>
      <c r="AB78" s="11">
        <v>62006</v>
      </c>
      <c r="AC78" s="11">
        <v>185571</v>
      </c>
      <c r="AD78" s="11">
        <v>6619</v>
      </c>
      <c r="AE78" s="11">
        <v>15092</v>
      </c>
      <c r="AF78" s="11"/>
      <c r="AG78" s="11">
        <v>616765</v>
      </c>
      <c r="AH78" s="39">
        <v>1087378</v>
      </c>
      <c r="AI78" s="11">
        <v>18417</v>
      </c>
      <c r="AJ78" s="11">
        <f t="shared" ref="AJ78:AJ79" si="23">SUM(B78:AI78)</f>
        <v>18710493.325893689</v>
      </c>
    </row>
    <row r="79" spans="1:36" x14ac:dyDescent="0.25">
      <c r="A79" s="11" t="s">
        <v>300</v>
      </c>
      <c r="B79" s="11">
        <v>325557</v>
      </c>
      <c r="C79" s="11">
        <v>86823</v>
      </c>
      <c r="D79" s="11">
        <v>756903</v>
      </c>
      <c r="E79" s="11">
        <v>1069039</v>
      </c>
      <c r="F79" s="11">
        <v>11266543</v>
      </c>
      <c r="G79" s="11">
        <v>1458424</v>
      </c>
      <c r="H79" s="11">
        <v>2557549</v>
      </c>
      <c r="I79" s="11">
        <v>63618</v>
      </c>
      <c r="J79" s="11">
        <v>-109318</v>
      </c>
      <c r="K79" s="11">
        <v>98313</v>
      </c>
      <c r="L79" s="11">
        <v>843935.37</v>
      </c>
      <c r="M79" s="11">
        <v>1644806</v>
      </c>
      <c r="N79" s="11">
        <v>1027556</v>
      </c>
      <c r="O79" s="11">
        <v>-8523652</v>
      </c>
      <c r="P79" s="11">
        <v>11756343</v>
      </c>
      <c r="Q79" s="11">
        <v>5847498</v>
      </c>
      <c r="R79" s="11">
        <v>124468</v>
      </c>
      <c r="S79" s="11">
        <v>887011</v>
      </c>
      <c r="T79" s="11">
        <v>-1230173</v>
      </c>
      <c r="U79" s="11">
        <v>578394</v>
      </c>
      <c r="V79" s="11">
        <v>9696751.2653871123</v>
      </c>
      <c r="W79" s="11">
        <v>15280534</v>
      </c>
      <c r="X79" s="11">
        <v>9618974</v>
      </c>
      <c r="Y79" s="11">
        <v>86426</v>
      </c>
      <c r="Z79" s="11">
        <v>12107663</v>
      </c>
      <c r="AA79" s="11">
        <v>12296</v>
      </c>
      <c r="AB79" s="11">
        <v>2210158</v>
      </c>
      <c r="AC79" s="11">
        <v>-2207069</v>
      </c>
      <c r="AD79" s="11">
        <v>6447729</v>
      </c>
      <c r="AE79" s="11">
        <v>366509</v>
      </c>
      <c r="AF79" s="11">
        <v>2738883</v>
      </c>
      <c r="AG79" s="11">
        <v>12154072</v>
      </c>
      <c r="AH79" s="39">
        <v>6232452</v>
      </c>
      <c r="AI79" s="11">
        <v>1207431</v>
      </c>
      <c r="AJ79" s="11">
        <f t="shared" si="23"/>
        <v>106482446.63538712</v>
      </c>
    </row>
    <row r="80" spans="1:36" x14ac:dyDescent="0.25">
      <c r="A80" s="11" t="s">
        <v>252</v>
      </c>
      <c r="B80" s="11">
        <v>343819</v>
      </c>
      <c r="C80" s="11">
        <v>1344173</v>
      </c>
      <c r="D80" s="11">
        <v>219845</v>
      </c>
      <c r="E80" s="11">
        <v>3797080</v>
      </c>
      <c r="F80" s="11">
        <v>17616522</v>
      </c>
      <c r="G80" s="11">
        <v>4426189</v>
      </c>
      <c r="H80" s="11">
        <v>8480533</v>
      </c>
      <c r="I80" s="11">
        <v>1196063</v>
      </c>
      <c r="J80" s="11">
        <v>307053</v>
      </c>
      <c r="K80" s="11">
        <v>113523</v>
      </c>
      <c r="L80" s="11">
        <v>1744978.54</v>
      </c>
      <c r="M80" s="11">
        <v>4559752</v>
      </c>
      <c r="N80" s="11">
        <v>3576376</v>
      </c>
      <c r="O80" s="11">
        <v>9818600</v>
      </c>
      <c r="P80" s="11">
        <v>23850241</v>
      </c>
      <c r="Q80" s="11">
        <v>13380263</v>
      </c>
      <c r="R80" s="11">
        <v>704233</v>
      </c>
      <c r="S80" s="11">
        <v>2923084</v>
      </c>
      <c r="T80" s="11">
        <v>1668480</v>
      </c>
      <c r="U80" s="11">
        <v>1926194</v>
      </c>
      <c r="V80" s="11">
        <v>22783120.902289122</v>
      </c>
      <c r="W80" s="11">
        <v>63325877</v>
      </c>
      <c r="X80" s="11">
        <v>25723372</v>
      </c>
      <c r="Y80" s="11">
        <v>213467</v>
      </c>
      <c r="Z80" s="11">
        <v>12107663</v>
      </c>
      <c r="AA80" s="11">
        <v>23021</v>
      </c>
      <c r="AB80" s="11">
        <v>3605878</v>
      </c>
      <c r="AC80" s="11">
        <v>5156843</v>
      </c>
      <c r="AD80" s="11">
        <v>6331995</v>
      </c>
      <c r="AE80" s="11">
        <v>5098894</v>
      </c>
      <c r="AF80" s="11">
        <v>8869758</v>
      </c>
      <c r="AG80" s="11">
        <v>10013195</v>
      </c>
      <c r="AH80" s="39">
        <v>31812276</v>
      </c>
      <c r="AI80" s="11">
        <v>2400486</v>
      </c>
      <c r="AJ80" s="11">
        <f t="shared" ref="AJ80:AJ81" si="24">SUM(B80:AI80)</f>
        <v>299462847.44228911</v>
      </c>
    </row>
    <row r="81" spans="1:36" x14ac:dyDescent="0.25">
      <c r="A81" s="11" t="s">
        <v>253</v>
      </c>
      <c r="B81" s="11">
        <v>350922</v>
      </c>
      <c r="C81" s="11">
        <v>1028401</v>
      </c>
      <c r="D81" s="11">
        <v>1003688</v>
      </c>
      <c r="E81" s="11">
        <v>3230708</v>
      </c>
      <c r="F81" s="11">
        <v>18579879</v>
      </c>
      <c r="G81" s="11">
        <v>3894446</v>
      </c>
      <c r="H81" s="11">
        <v>8176843</v>
      </c>
      <c r="I81" s="11">
        <v>1192435</v>
      </c>
      <c r="J81" s="11">
        <v>382934</v>
      </c>
      <c r="K81" s="11">
        <v>192806</v>
      </c>
      <c r="L81" s="11">
        <v>1690693.64</v>
      </c>
      <c r="M81" s="11">
        <v>4202995</v>
      </c>
      <c r="N81" s="11">
        <v>2384882</v>
      </c>
      <c r="O81" s="11">
        <v>9718772</v>
      </c>
      <c r="P81" s="11">
        <v>22448917</v>
      </c>
      <c r="Q81" s="11">
        <v>10319125</v>
      </c>
      <c r="R81" s="11">
        <v>644844</v>
      </c>
      <c r="S81" s="11">
        <v>2562972</v>
      </c>
      <c r="T81" s="11">
        <v>1644387</v>
      </c>
      <c r="U81" s="11">
        <v>1082866</v>
      </c>
      <c r="V81" s="11">
        <v>24783291.632739123</v>
      </c>
      <c r="W81" s="11">
        <v>54060479</v>
      </c>
      <c r="X81" s="11">
        <v>25701371</v>
      </c>
      <c r="Y81" s="11">
        <v>259255</v>
      </c>
      <c r="Z81" s="11">
        <v>8706515</v>
      </c>
      <c r="AA81" s="11">
        <v>11486</v>
      </c>
      <c r="AB81" s="11">
        <v>2855483</v>
      </c>
      <c r="AC81" s="11">
        <v>5258230</v>
      </c>
      <c r="AD81" s="11">
        <v>6492140</v>
      </c>
      <c r="AE81" s="11">
        <v>5462749</v>
      </c>
      <c r="AF81" s="11">
        <v>8147656</v>
      </c>
      <c r="AG81" s="11">
        <v>12420494</v>
      </c>
      <c r="AH81" s="39">
        <v>31545208</v>
      </c>
      <c r="AI81" s="11">
        <v>2406774</v>
      </c>
      <c r="AJ81" s="11">
        <f t="shared" si="24"/>
        <v>282844647.27273911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45.140625" style="8" customWidth="1"/>
    <col min="2" max="36" width="16" style="8" customWidth="1"/>
    <col min="37" max="16384" width="9.140625" style="8"/>
  </cols>
  <sheetData>
    <row r="1" spans="1:36" ht="18.75" x14ac:dyDescent="0.3">
      <c r="A1" s="6" t="s">
        <v>250</v>
      </c>
    </row>
    <row r="2" spans="1:36" x14ac:dyDescent="0.25">
      <c r="A2" s="19" t="s">
        <v>48</v>
      </c>
    </row>
    <row r="3" spans="1:36" x14ac:dyDescent="0.25">
      <c r="A3" s="36" t="s">
        <v>239</v>
      </c>
    </row>
    <row r="4" spans="1:36" x14ac:dyDescent="0.25">
      <c r="A4" s="4" t="s">
        <v>0</v>
      </c>
      <c r="B4" s="77" t="s">
        <v>1</v>
      </c>
      <c r="C4" s="77" t="s">
        <v>2</v>
      </c>
      <c r="D4" s="77" t="s">
        <v>3</v>
      </c>
      <c r="E4" s="77" t="s">
        <v>4</v>
      </c>
      <c r="F4" s="77" t="s">
        <v>5</v>
      </c>
      <c r="G4" s="77" t="s">
        <v>6</v>
      </c>
      <c r="H4" s="77" t="s">
        <v>7</v>
      </c>
      <c r="I4" s="77" t="s">
        <v>8</v>
      </c>
      <c r="J4" s="77" t="s">
        <v>9</v>
      </c>
      <c r="K4" s="77" t="s">
        <v>10</v>
      </c>
      <c r="L4" s="77" t="s">
        <v>11</v>
      </c>
      <c r="M4" s="77" t="s">
        <v>12</v>
      </c>
      <c r="N4" s="77" t="s">
        <v>13</v>
      </c>
      <c r="O4" s="77" t="s">
        <v>14</v>
      </c>
      <c r="P4" s="77" t="s">
        <v>15</v>
      </c>
      <c r="Q4" s="77" t="s">
        <v>16</v>
      </c>
      <c r="R4" s="77" t="s">
        <v>17</v>
      </c>
      <c r="S4" s="77" t="s">
        <v>18</v>
      </c>
      <c r="T4" s="77" t="s">
        <v>19</v>
      </c>
      <c r="U4" s="77" t="s">
        <v>20</v>
      </c>
      <c r="V4" s="77" t="s">
        <v>21</v>
      </c>
      <c r="W4" s="77" t="s">
        <v>22</v>
      </c>
      <c r="X4" s="77" t="s">
        <v>23</v>
      </c>
      <c r="Y4" s="77" t="s">
        <v>24</v>
      </c>
      <c r="Z4" s="77" t="s">
        <v>25</v>
      </c>
      <c r="AA4" s="77" t="s">
        <v>26</v>
      </c>
      <c r="AB4" s="77" t="s">
        <v>27</v>
      </c>
      <c r="AC4" s="77" t="s">
        <v>28</v>
      </c>
      <c r="AD4" s="77" t="s">
        <v>29</v>
      </c>
      <c r="AE4" s="77" t="s">
        <v>30</v>
      </c>
      <c r="AF4" s="77" t="s">
        <v>31</v>
      </c>
      <c r="AG4" s="77" t="s">
        <v>32</v>
      </c>
      <c r="AH4" s="76" t="s">
        <v>33</v>
      </c>
      <c r="AI4" s="77" t="s">
        <v>34</v>
      </c>
      <c r="AJ4" s="77" t="s">
        <v>35</v>
      </c>
    </row>
    <row r="5" spans="1:36" x14ac:dyDescent="0.25">
      <c r="A5" s="29" t="s">
        <v>251</v>
      </c>
      <c r="B5" s="11"/>
      <c r="C5" s="11"/>
      <c r="D5" s="11"/>
      <c r="E5" s="11"/>
      <c r="F5" s="11">
        <v>718705</v>
      </c>
      <c r="G5" s="11">
        <v>70344</v>
      </c>
      <c r="H5" s="11">
        <v>142895</v>
      </c>
      <c r="I5" s="11"/>
      <c r="J5" s="11">
        <v>612</v>
      </c>
      <c r="K5" s="11">
        <v>4</v>
      </c>
      <c r="L5" s="11"/>
      <c r="M5" s="11">
        <v>211694</v>
      </c>
      <c r="N5" s="11"/>
      <c r="O5" s="11">
        <v>492147</v>
      </c>
      <c r="P5" s="11">
        <v>943693</v>
      </c>
      <c r="Q5" s="11">
        <v>681694</v>
      </c>
      <c r="R5" s="11">
        <v>27592</v>
      </c>
      <c r="S5" s="11">
        <v>48474</v>
      </c>
      <c r="T5" s="11">
        <v>14032</v>
      </c>
      <c r="U5" s="11"/>
      <c r="V5" s="11">
        <v>2178894.4670000002</v>
      </c>
      <c r="W5" s="11">
        <v>4441101</v>
      </c>
      <c r="X5" s="11">
        <v>1421380</v>
      </c>
      <c r="Y5" s="11">
        <v>149</v>
      </c>
      <c r="Z5" s="11">
        <v>179524</v>
      </c>
      <c r="AA5" s="11"/>
      <c r="AB5" s="11"/>
      <c r="AC5" s="11">
        <v>205373</v>
      </c>
      <c r="AD5" s="11">
        <v>518308</v>
      </c>
      <c r="AE5" s="11">
        <v>37788</v>
      </c>
      <c r="AF5" s="11"/>
      <c r="AG5" s="11">
        <v>629212</v>
      </c>
      <c r="AH5" s="39">
        <v>1629807</v>
      </c>
      <c r="AI5" s="11">
        <v>44369</v>
      </c>
      <c r="AJ5" s="11">
        <f>SUM(B5:AI5)</f>
        <v>14637791.467</v>
      </c>
    </row>
    <row r="6" spans="1:36" x14ac:dyDescent="0.25">
      <c r="A6" s="29" t="s">
        <v>301</v>
      </c>
      <c r="B6" s="11"/>
      <c r="C6" s="11"/>
      <c r="D6" s="11"/>
      <c r="E6" s="11"/>
      <c r="F6" s="11">
        <v>8319</v>
      </c>
      <c r="G6" s="11">
        <v>140</v>
      </c>
      <c r="H6" s="11">
        <v>-1250</v>
      </c>
      <c r="I6" s="11"/>
      <c r="J6" s="11"/>
      <c r="K6" s="11">
        <v>35</v>
      </c>
      <c r="L6" s="11"/>
      <c r="M6" s="11">
        <v>273</v>
      </c>
      <c r="N6" s="11">
        <v>6949.58</v>
      </c>
      <c r="O6" s="11"/>
      <c r="P6" s="11"/>
      <c r="Q6" s="11">
        <v>14932</v>
      </c>
      <c r="R6" s="11">
        <v>35</v>
      </c>
      <c r="S6" s="11">
        <v>865</v>
      </c>
      <c r="T6" s="11"/>
      <c r="U6" s="11"/>
      <c r="V6" s="11">
        <v>521153.03499999997</v>
      </c>
      <c r="W6" s="11"/>
      <c r="X6" s="11">
        <v>181535</v>
      </c>
      <c r="Y6" s="11"/>
      <c r="Z6" s="11">
        <v>32153</v>
      </c>
      <c r="AA6" s="11"/>
      <c r="AB6" s="11"/>
      <c r="AC6" s="11"/>
      <c r="AD6" s="11"/>
      <c r="AE6" s="11">
        <v>71</v>
      </c>
      <c r="AF6" s="11"/>
      <c r="AG6" s="11">
        <v>187101</v>
      </c>
      <c r="AH6" s="39">
        <v>597671</v>
      </c>
      <c r="AI6" s="11">
        <v>-114</v>
      </c>
      <c r="AJ6" s="11">
        <f t="shared" ref="AJ6:AJ10" si="0">SUM(B6:AI6)</f>
        <v>1549868.615</v>
      </c>
    </row>
    <row r="7" spans="1:36" x14ac:dyDescent="0.25">
      <c r="A7" s="29" t="s">
        <v>302</v>
      </c>
      <c r="B7" s="11"/>
      <c r="C7" s="11"/>
      <c r="D7" s="11"/>
      <c r="E7" s="11"/>
      <c r="F7" s="11">
        <v>429360</v>
      </c>
      <c r="G7" s="11">
        <v>52427</v>
      </c>
      <c r="H7" s="11">
        <v>61458</v>
      </c>
      <c r="I7" s="11"/>
      <c r="J7" s="11"/>
      <c r="K7" s="11">
        <v>-15517</v>
      </c>
      <c r="L7" s="11"/>
      <c r="M7" s="11">
        <v>129915</v>
      </c>
      <c r="N7" s="11">
        <v>5865.51</v>
      </c>
      <c r="O7" s="11"/>
      <c r="P7" s="11"/>
      <c r="Q7" s="11">
        <v>596288</v>
      </c>
      <c r="R7" s="11">
        <v>24371</v>
      </c>
      <c r="S7" s="11">
        <v>40591</v>
      </c>
      <c r="T7" s="11"/>
      <c r="U7" s="11"/>
      <c r="V7" s="11">
        <v>-1829119.645</v>
      </c>
      <c r="W7" s="11"/>
      <c r="X7" s="11">
        <v>634479</v>
      </c>
      <c r="Y7" s="11">
        <v>114</v>
      </c>
      <c r="Z7" s="11">
        <v>133783</v>
      </c>
      <c r="AA7" s="11"/>
      <c r="AB7" s="11"/>
      <c r="AC7" s="11"/>
      <c r="AD7" s="11">
        <v>322073</v>
      </c>
      <c r="AE7" s="11">
        <v>17256</v>
      </c>
      <c r="AF7" s="11"/>
      <c r="AG7" s="11">
        <v>664915</v>
      </c>
      <c r="AH7" s="39">
        <v>1593485</v>
      </c>
      <c r="AI7" s="11">
        <v>28861</v>
      </c>
      <c r="AJ7" s="11">
        <f t="shared" si="0"/>
        <v>2890604.8650000002</v>
      </c>
    </row>
    <row r="8" spans="1:36" x14ac:dyDescent="0.25">
      <c r="A8" s="29" t="s">
        <v>305</v>
      </c>
      <c r="B8" s="11"/>
      <c r="C8" s="11"/>
      <c r="D8" s="11"/>
      <c r="E8" s="11"/>
      <c r="F8" s="11"/>
      <c r="G8" s="11">
        <v>18057</v>
      </c>
      <c r="H8" s="11"/>
      <c r="I8" s="11"/>
      <c r="J8" s="11"/>
      <c r="K8" s="11"/>
      <c r="L8" s="11"/>
      <c r="M8" s="11">
        <v>82051</v>
      </c>
      <c r="N8" s="11">
        <v>1084</v>
      </c>
      <c r="O8" s="11"/>
      <c r="P8" s="11"/>
      <c r="Q8" s="11"/>
      <c r="R8" s="11"/>
      <c r="S8" s="11"/>
      <c r="T8" s="11"/>
      <c r="U8" s="11"/>
      <c r="V8" s="11">
        <v>4529167.1469999999</v>
      </c>
      <c r="W8" s="11"/>
      <c r="X8" s="11"/>
      <c r="Y8" s="11"/>
      <c r="Z8" s="11"/>
      <c r="AA8" s="11"/>
      <c r="AB8" s="11"/>
      <c r="AC8" s="11"/>
      <c r="AD8" s="11"/>
      <c r="AE8" s="11">
        <v>20603</v>
      </c>
      <c r="AF8" s="11"/>
      <c r="AG8" s="11"/>
      <c r="AH8" s="11"/>
      <c r="AI8" s="11"/>
      <c r="AJ8" s="11">
        <f t="shared" si="0"/>
        <v>4650962.1469999999</v>
      </c>
    </row>
    <row r="9" spans="1:36" x14ac:dyDescent="0.25">
      <c r="A9" s="29" t="s">
        <v>304</v>
      </c>
      <c r="B9" s="11"/>
      <c r="C9" s="11"/>
      <c r="D9" s="11"/>
      <c r="E9" s="11"/>
      <c r="F9" s="11">
        <v>1785281</v>
      </c>
      <c r="G9" s="11">
        <v>330180</v>
      </c>
      <c r="H9" s="11">
        <v>313592</v>
      </c>
      <c r="I9" s="11"/>
      <c r="J9" s="11">
        <v>53702</v>
      </c>
      <c r="K9" s="11">
        <v>4687</v>
      </c>
      <c r="L9" s="11"/>
      <c r="M9" s="11">
        <v>673067</v>
      </c>
      <c r="N9" s="11">
        <v>120332</v>
      </c>
      <c r="O9" s="11">
        <v>8056740</v>
      </c>
      <c r="P9" s="11">
        <v>17682093</v>
      </c>
      <c r="Q9" s="11">
        <v>803221</v>
      </c>
      <c r="R9" s="11">
        <v>43084</v>
      </c>
      <c r="S9" s="11">
        <v>1131048</v>
      </c>
      <c r="T9" s="11">
        <v>1630138</v>
      </c>
      <c r="U9" s="11"/>
      <c r="V9" s="11">
        <v>11842177.424999999</v>
      </c>
      <c r="W9" s="11">
        <v>49798994</v>
      </c>
      <c r="X9" s="11">
        <v>23833732</v>
      </c>
      <c r="Y9" s="11">
        <v>3008</v>
      </c>
      <c r="Z9" s="11">
        <v>1082175</v>
      </c>
      <c r="AA9" s="11"/>
      <c r="AB9" s="11"/>
      <c r="AC9" s="11">
        <v>2378668</v>
      </c>
      <c r="AD9" s="11">
        <v>1548193</v>
      </c>
      <c r="AE9" s="11">
        <v>172552</v>
      </c>
      <c r="AF9" s="11"/>
      <c r="AG9" s="11">
        <v>838072</v>
      </c>
      <c r="AH9" s="39">
        <v>17972552</v>
      </c>
      <c r="AI9" s="11">
        <v>380100</v>
      </c>
      <c r="AJ9" s="11">
        <f t="shared" si="0"/>
        <v>142477388.42500001</v>
      </c>
    </row>
    <row r="10" spans="1:36" x14ac:dyDescent="0.25">
      <c r="A10" s="29" t="s">
        <v>303</v>
      </c>
      <c r="B10" s="11"/>
      <c r="C10" s="11"/>
      <c r="D10" s="11"/>
      <c r="E10" s="11"/>
      <c r="F10" s="11">
        <v>1508662</v>
      </c>
      <c r="G10" s="11">
        <v>256889</v>
      </c>
      <c r="H10" s="11">
        <v>227520</v>
      </c>
      <c r="I10" s="11"/>
      <c r="J10" s="11">
        <v>-71269</v>
      </c>
      <c r="K10" s="11">
        <v>15895</v>
      </c>
      <c r="L10" s="11"/>
      <c r="M10" s="11">
        <v>637501.30000000005</v>
      </c>
      <c r="N10" s="11">
        <v>79663</v>
      </c>
      <c r="O10" s="11">
        <v>-8154893</v>
      </c>
      <c r="P10" s="11">
        <v>16778993</v>
      </c>
      <c r="Q10" s="11">
        <v>815656</v>
      </c>
      <c r="R10" s="11">
        <v>26672</v>
      </c>
      <c r="S10" s="11">
        <v>1104635</v>
      </c>
      <c r="T10" s="11">
        <v>-1392269</v>
      </c>
      <c r="U10" s="11"/>
      <c r="V10" s="11">
        <v>15448689.581999999</v>
      </c>
      <c r="W10" s="11">
        <v>47966375</v>
      </c>
      <c r="X10" s="11">
        <v>23579151</v>
      </c>
      <c r="Y10" s="11">
        <v>2751</v>
      </c>
      <c r="Z10" s="11">
        <v>941474</v>
      </c>
      <c r="AA10" s="11"/>
      <c r="AB10" s="11"/>
      <c r="AC10" s="11">
        <v>-2345951</v>
      </c>
      <c r="AD10" s="11">
        <v>1090749</v>
      </c>
      <c r="AE10" s="11">
        <v>186350</v>
      </c>
      <c r="AF10" s="11"/>
      <c r="AG10" s="11">
        <v>756108</v>
      </c>
      <c r="AH10" s="39">
        <v>14350874</v>
      </c>
      <c r="AI10" s="11">
        <v>320605</v>
      </c>
      <c r="AJ10" s="11">
        <f t="shared" si="0"/>
        <v>114130830.882</v>
      </c>
    </row>
    <row r="11" spans="1:36" x14ac:dyDescent="0.25">
      <c r="A11" s="29" t="s">
        <v>298</v>
      </c>
      <c r="B11" s="11"/>
      <c r="C11" s="11"/>
      <c r="D11" s="11"/>
      <c r="E11" s="11"/>
      <c r="F11" s="11">
        <v>574283</v>
      </c>
      <c r="G11" s="11">
        <v>91348</v>
      </c>
      <c r="H11" s="11">
        <v>166259</v>
      </c>
      <c r="I11" s="11"/>
      <c r="J11" s="11">
        <v>-24770</v>
      </c>
      <c r="K11" s="11">
        <v>4348</v>
      </c>
      <c r="L11" s="11"/>
      <c r="M11" s="11">
        <v>117617</v>
      </c>
      <c r="N11" s="11">
        <v>41753</v>
      </c>
      <c r="O11" s="11">
        <v>181043</v>
      </c>
      <c r="P11" s="11">
        <v>417725</v>
      </c>
      <c r="Q11" s="11">
        <v>87903</v>
      </c>
      <c r="R11" s="11">
        <v>19668</v>
      </c>
      <c r="S11" s="11">
        <v>17940</v>
      </c>
      <c r="T11" s="11">
        <v>12435</v>
      </c>
      <c r="U11" s="11"/>
      <c r="V11" s="11">
        <v>922654.99000000022</v>
      </c>
      <c r="W11" s="11">
        <v>4328405</v>
      </c>
      <c r="X11" s="11">
        <v>1223017</v>
      </c>
      <c r="Y11" s="11">
        <v>292</v>
      </c>
      <c r="Z11" s="11">
        <v>218595</v>
      </c>
      <c r="AA11" s="11"/>
      <c r="AB11" s="11"/>
      <c r="AC11" s="11">
        <v>81918</v>
      </c>
      <c r="AD11" s="11">
        <v>653679</v>
      </c>
      <c r="AE11" s="11">
        <v>6805</v>
      </c>
      <c r="AF11" s="11"/>
      <c r="AG11" s="11">
        <v>233362</v>
      </c>
      <c r="AH11" s="39">
        <v>4255671</v>
      </c>
      <c r="AI11" s="11">
        <v>74889</v>
      </c>
      <c r="AJ11" s="11">
        <f>SUM(B11:AI11)</f>
        <v>13706839.99</v>
      </c>
    </row>
    <row r="12" spans="1:36" x14ac:dyDescent="0.25">
      <c r="A12" s="19"/>
    </row>
    <row r="13" spans="1:36" x14ac:dyDescent="0.25">
      <c r="A13" s="36" t="s">
        <v>240</v>
      </c>
    </row>
    <row r="14" spans="1:36" x14ac:dyDescent="0.25">
      <c r="A14" s="4" t="s">
        <v>0</v>
      </c>
      <c r="B14" s="77" t="s">
        <v>1</v>
      </c>
      <c r="C14" s="77" t="s">
        <v>2</v>
      </c>
      <c r="D14" s="77" t="s">
        <v>3</v>
      </c>
      <c r="E14" s="77" t="s">
        <v>4</v>
      </c>
      <c r="F14" s="77" t="s">
        <v>5</v>
      </c>
      <c r="G14" s="77" t="s">
        <v>6</v>
      </c>
      <c r="H14" s="77" t="s">
        <v>7</v>
      </c>
      <c r="I14" s="77" t="s">
        <v>8</v>
      </c>
      <c r="J14" s="77" t="s">
        <v>9</v>
      </c>
      <c r="K14" s="77" t="s">
        <v>10</v>
      </c>
      <c r="L14" s="77" t="s">
        <v>11</v>
      </c>
      <c r="M14" s="77" t="s">
        <v>12</v>
      </c>
      <c r="N14" s="77" t="s">
        <v>13</v>
      </c>
      <c r="O14" s="77" t="s">
        <v>14</v>
      </c>
      <c r="P14" s="77" t="s">
        <v>15</v>
      </c>
      <c r="Q14" s="77" t="s">
        <v>16</v>
      </c>
      <c r="R14" s="77" t="s">
        <v>17</v>
      </c>
      <c r="S14" s="77" t="s">
        <v>18</v>
      </c>
      <c r="T14" s="77" t="s">
        <v>19</v>
      </c>
      <c r="U14" s="77" t="s">
        <v>20</v>
      </c>
      <c r="V14" s="77" t="s">
        <v>21</v>
      </c>
      <c r="W14" s="77" t="s">
        <v>22</v>
      </c>
      <c r="X14" s="77" t="s">
        <v>23</v>
      </c>
      <c r="Y14" s="77" t="s">
        <v>24</v>
      </c>
      <c r="Z14" s="77" t="s">
        <v>25</v>
      </c>
      <c r="AA14" s="77" t="s">
        <v>26</v>
      </c>
      <c r="AB14" s="77" t="s">
        <v>27</v>
      </c>
      <c r="AC14" s="77" t="s">
        <v>28</v>
      </c>
      <c r="AD14" s="77" t="s">
        <v>29</v>
      </c>
      <c r="AE14" s="77" t="s">
        <v>30</v>
      </c>
      <c r="AF14" s="77" t="s">
        <v>31</v>
      </c>
      <c r="AG14" s="77" t="s">
        <v>32</v>
      </c>
      <c r="AH14" s="76" t="s">
        <v>33</v>
      </c>
      <c r="AI14" s="77" t="s">
        <v>34</v>
      </c>
      <c r="AJ14" s="77" t="s">
        <v>35</v>
      </c>
    </row>
    <row r="15" spans="1:36" x14ac:dyDescent="0.25">
      <c r="A15" s="29" t="s">
        <v>251</v>
      </c>
      <c r="B15" s="11"/>
      <c r="C15" s="11"/>
      <c r="D15" s="11"/>
      <c r="E15" s="11"/>
      <c r="F15" s="11">
        <v>237178</v>
      </c>
      <c r="G15" s="11">
        <v>71952</v>
      </c>
      <c r="H15" s="11">
        <v>138354</v>
      </c>
      <c r="I15" s="11"/>
      <c r="J15" s="11"/>
      <c r="K15" s="11"/>
      <c r="L15" s="11"/>
      <c r="M15" s="11">
        <v>67322</v>
      </c>
      <c r="N15" s="11"/>
      <c r="O15" s="11">
        <v>253913</v>
      </c>
      <c r="P15" s="11">
        <v>493876</v>
      </c>
      <c r="Q15" s="11">
        <v>197480</v>
      </c>
      <c r="R15" s="11"/>
      <c r="S15" s="11">
        <v>33331</v>
      </c>
      <c r="T15" s="11">
        <v>26437</v>
      </c>
      <c r="U15" s="11"/>
      <c r="V15" s="11">
        <v>240317.85600000003</v>
      </c>
      <c r="W15" s="11">
        <v>770109</v>
      </c>
      <c r="X15" s="11">
        <v>483511</v>
      </c>
      <c r="Y15" s="11"/>
      <c r="Z15" s="11">
        <v>361892</v>
      </c>
      <c r="AA15" s="11"/>
      <c r="AB15" s="11"/>
      <c r="AC15" s="11">
        <v>59067</v>
      </c>
      <c r="AD15" s="11">
        <v>21856</v>
      </c>
      <c r="AE15" s="11">
        <v>575</v>
      </c>
      <c r="AF15" s="11"/>
      <c r="AG15" s="11">
        <v>392378</v>
      </c>
      <c r="AH15" s="39">
        <v>807508</v>
      </c>
      <c r="AI15" s="11">
        <f>319+16576</f>
        <v>16895</v>
      </c>
      <c r="AJ15" s="11">
        <f t="shared" ref="AJ15:AJ21" si="1">SUM(B15:AI15)</f>
        <v>4673951.8560000006</v>
      </c>
    </row>
    <row r="16" spans="1:36" x14ac:dyDescent="0.25">
      <c r="A16" s="29" t="s">
        <v>301</v>
      </c>
      <c r="B16" s="11"/>
      <c r="C16" s="11"/>
      <c r="D16" s="11"/>
      <c r="E16" s="11"/>
      <c r="F16" s="11"/>
      <c r="G16" s="11">
        <v>3162</v>
      </c>
      <c r="H16" s="11"/>
      <c r="I16" s="11"/>
      <c r="J16" s="11"/>
      <c r="K16" s="11"/>
      <c r="L16" s="11"/>
      <c r="M16" s="11">
        <v>910</v>
      </c>
      <c r="N16" s="11"/>
      <c r="O16" s="11"/>
      <c r="P16" s="11"/>
      <c r="Q16" s="11">
        <v>66</v>
      </c>
      <c r="R16" s="11"/>
      <c r="S16" s="11"/>
      <c r="T16" s="11"/>
      <c r="U16" s="11"/>
      <c r="V16" s="11">
        <v>61450.756999999998</v>
      </c>
      <c r="W16" s="11"/>
      <c r="X16" s="11">
        <v>113825</v>
      </c>
      <c r="Y16" s="11"/>
      <c r="Z16" s="11"/>
      <c r="AA16" s="11"/>
      <c r="AB16" s="11"/>
      <c r="AC16" s="11"/>
      <c r="AD16" s="11"/>
      <c r="AE16" s="11"/>
      <c r="AF16" s="11"/>
      <c r="AG16" s="11">
        <v>519595</v>
      </c>
      <c r="AH16" s="39">
        <v>187045</v>
      </c>
      <c r="AI16" s="11"/>
      <c r="AJ16" s="11">
        <f t="shared" ref="AJ16:AJ20" si="2">SUM(B16:AI16)</f>
        <v>886053.75699999998</v>
      </c>
    </row>
    <row r="17" spans="1:36" x14ac:dyDescent="0.25">
      <c r="A17" s="29" t="s">
        <v>302</v>
      </c>
      <c r="B17" s="11"/>
      <c r="C17" s="11"/>
      <c r="D17" s="11"/>
      <c r="E17" s="11"/>
      <c r="F17" s="11">
        <v>48089</v>
      </c>
      <c r="G17" s="11">
        <v>21140</v>
      </c>
      <c r="H17" s="11">
        <v>120579</v>
      </c>
      <c r="I17" s="11"/>
      <c r="J17" s="11"/>
      <c r="K17" s="11">
        <v>147</v>
      </c>
      <c r="L17" s="11"/>
      <c r="M17" s="11">
        <v>19336</v>
      </c>
      <c r="N17" s="11"/>
      <c r="O17" s="11"/>
      <c r="P17" s="11"/>
      <c r="Q17" s="11">
        <v>108109</v>
      </c>
      <c r="R17" s="11"/>
      <c r="S17" s="11">
        <v>4179</v>
      </c>
      <c r="T17" s="11"/>
      <c r="U17" s="11"/>
      <c r="V17" s="11">
        <v>21109.990999999998</v>
      </c>
      <c r="W17" s="11"/>
      <c r="X17" s="11">
        <v>-81828</v>
      </c>
      <c r="Y17" s="11"/>
      <c r="Z17" s="11">
        <v>348647</v>
      </c>
      <c r="AA17" s="11"/>
      <c r="AB17" s="11"/>
      <c r="AC17" s="11"/>
      <c r="AD17" s="11">
        <v>1428</v>
      </c>
      <c r="AE17" s="11">
        <v>29</v>
      </c>
      <c r="AF17" s="11"/>
      <c r="AG17" s="11">
        <v>7613</v>
      </c>
      <c r="AH17" s="39">
        <v>298002</v>
      </c>
      <c r="AI17" s="11">
        <f>10428+317</f>
        <v>10745</v>
      </c>
      <c r="AJ17" s="11">
        <f t="shared" si="2"/>
        <v>927324.99099999992</v>
      </c>
    </row>
    <row r="18" spans="1:36" x14ac:dyDescent="0.25">
      <c r="A18" s="29" t="s">
        <v>305</v>
      </c>
      <c r="B18" s="11"/>
      <c r="C18" s="11"/>
      <c r="D18" s="11"/>
      <c r="E18" s="11"/>
      <c r="F18" s="11"/>
      <c r="G18" s="11">
        <v>53974</v>
      </c>
      <c r="H18" s="11"/>
      <c r="I18" s="11"/>
      <c r="J18" s="11"/>
      <c r="K18" s="11"/>
      <c r="L18" s="11"/>
      <c r="M18" s="11">
        <v>48895</v>
      </c>
      <c r="N18" s="11"/>
      <c r="O18" s="11"/>
      <c r="P18" s="11"/>
      <c r="Q18" s="11"/>
      <c r="R18" s="11"/>
      <c r="S18" s="11"/>
      <c r="T18" s="11"/>
      <c r="U18" s="11"/>
      <c r="V18" s="11">
        <v>280659.62200000003</v>
      </c>
      <c r="W18" s="11"/>
      <c r="X18" s="11"/>
      <c r="Y18" s="11"/>
      <c r="Z18" s="11"/>
      <c r="AA18" s="11"/>
      <c r="AB18" s="11"/>
      <c r="AC18" s="11"/>
      <c r="AD18" s="11"/>
      <c r="AE18" s="11">
        <v>547</v>
      </c>
      <c r="AF18" s="11"/>
      <c r="AG18" s="11"/>
      <c r="AH18" s="11"/>
      <c r="AI18" s="11"/>
      <c r="AJ18" s="11">
        <f t="shared" si="2"/>
        <v>384075.62200000003</v>
      </c>
    </row>
    <row r="19" spans="1:36" x14ac:dyDescent="0.25">
      <c r="A19" s="29" t="s">
        <v>304</v>
      </c>
      <c r="B19" s="11"/>
      <c r="C19" s="11"/>
      <c r="D19" s="11"/>
      <c r="E19" s="11"/>
      <c r="F19" s="11">
        <v>724993</v>
      </c>
      <c r="G19" s="11">
        <v>197771</v>
      </c>
      <c r="H19" s="11">
        <v>82852</v>
      </c>
      <c r="I19" s="11"/>
      <c r="J19" s="11"/>
      <c r="K19" s="11">
        <v>741</v>
      </c>
      <c r="L19" s="11"/>
      <c r="M19" s="11">
        <v>351314</v>
      </c>
      <c r="N19" s="11">
        <v>80.55</v>
      </c>
      <c r="O19" s="11">
        <f>847950+1049440</f>
        <v>1897390</v>
      </c>
      <c r="P19" s="11">
        <v>5519996</v>
      </c>
      <c r="Q19" s="11">
        <v>562913</v>
      </c>
      <c r="R19" s="11"/>
      <c r="S19" s="11">
        <v>295609</v>
      </c>
      <c r="T19" s="11">
        <v>411242</v>
      </c>
      <c r="U19" s="11"/>
      <c r="V19" s="11">
        <v>1842955.7809999995</v>
      </c>
      <c r="W19" s="11">
        <v>6552873</v>
      </c>
      <c r="X19" s="11">
        <v>6466293</v>
      </c>
      <c r="Y19" s="11">
        <v>227</v>
      </c>
      <c r="Z19" s="11">
        <v>196753</v>
      </c>
      <c r="AA19" s="11"/>
      <c r="AB19" s="11"/>
      <c r="AC19" s="11">
        <v>408382</v>
      </c>
      <c r="AD19" s="11">
        <v>177996</v>
      </c>
      <c r="AE19" s="11">
        <v>20496</v>
      </c>
      <c r="AF19" s="11"/>
      <c r="AG19" s="11">
        <v>1764814</v>
      </c>
      <c r="AH19" s="39">
        <v>4024613</v>
      </c>
      <c r="AI19" s="11">
        <f>28+29249</f>
        <v>29277</v>
      </c>
      <c r="AJ19" s="11">
        <f t="shared" si="2"/>
        <v>31529581.331</v>
      </c>
    </row>
    <row r="20" spans="1:36" x14ac:dyDescent="0.25">
      <c r="A20" s="29" t="s">
        <v>303</v>
      </c>
      <c r="B20" s="11"/>
      <c r="C20" s="11"/>
      <c r="D20" s="11"/>
      <c r="E20" s="11"/>
      <c r="F20" s="11">
        <v>697567</v>
      </c>
      <c r="G20" s="11">
        <v>177448</v>
      </c>
      <c r="H20" s="11">
        <v>57775</v>
      </c>
      <c r="I20" s="11"/>
      <c r="J20" s="11"/>
      <c r="K20" s="11">
        <v>591</v>
      </c>
      <c r="L20" s="11"/>
      <c r="M20" s="11">
        <v>354102</v>
      </c>
      <c r="N20" s="11">
        <v>46.44</v>
      </c>
      <c r="O20" s="11">
        <f>-815629-957728</f>
        <v>-1773357</v>
      </c>
      <c r="P20" s="11">
        <v>5507280</v>
      </c>
      <c r="Q20" s="11">
        <v>562250</v>
      </c>
      <c r="R20" s="11"/>
      <c r="S20" s="11">
        <v>231338</v>
      </c>
      <c r="T20" s="11">
        <v>-365348</v>
      </c>
      <c r="U20" s="11"/>
      <c r="V20" s="11">
        <v>1928950.92</v>
      </c>
      <c r="W20" s="11">
        <v>6422852</v>
      </c>
      <c r="X20" s="11">
        <v>6317377</v>
      </c>
      <c r="Y20" s="11">
        <v>221</v>
      </c>
      <c r="Z20" s="11">
        <v>205550</v>
      </c>
      <c r="AA20" s="11"/>
      <c r="AB20" s="11"/>
      <c r="AC20" s="11">
        <v>-403621</v>
      </c>
      <c r="AD20" s="11">
        <v>167081</v>
      </c>
      <c r="AE20" s="11">
        <v>18934</v>
      </c>
      <c r="AF20" s="11"/>
      <c r="AG20" s="11">
        <v>1637597</v>
      </c>
      <c r="AH20" s="39">
        <v>4288452</v>
      </c>
      <c r="AI20" s="11">
        <f>27+24432</f>
        <v>24459</v>
      </c>
      <c r="AJ20" s="11">
        <f t="shared" si="2"/>
        <v>26057545.359999999</v>
      </c>
    </row>
    <row r="21" spans="1:36" x14ac:dyDescent="0.25">
      <c r="A21" s="29" t="s">
        <v>298</v>
      </c>
      <c r="B21" s="11"/>
      <c r="C21" s="11"/>
      <c r="D21" s="11"/>
      <c r="E21" s="11"/>
      <c r="F21" s="11">
        <v>216515</v>
      </c>
      <c r="G21" s="11">
        <v>74297</v>
      </c>
      <c r="H21" s="11">
        <v>42852</v>
      </c>
      <c r="I21" s="11"/>
      <c r="J21" s="11"/>
      <c r="K21" s="11">
        <v>3</v>
      </c>
      <c r="L21" s="11"/>
      <c r="M21" s="11">
        <v>46107</v>
      </c>
      <c r="N21" s="11">
        <v>34</v>
      </c>
      <c r="O21" s="11">
        <v>171503</v>
      </c>
      <c r="P21" s="11">
        <v>343502</v>
      </c>
      <c r="Q21" s="11">
        <v>90100</v>
      </c>
      <c r="R21" s="11"/>
      <c r="S21" s="11">
        <v>57481</v>
      </c>
      <c r="T21" s="11">
        <v>4068</v>
      </c>
      <c r="U21" s="11"/>
      <c r="V21" s="11">
        <v>194664.48299999954</v>
      </c>
      <c r="W21" s="11">
        <v>665089</v>
      </c>
      <c r="X21" s="11">
        <v>828080</v>
      </c>
      <c r="Y21" s="11">
        <v>6</v>
      </c>
      <c r="Z21" s="11">
        <v>4448</v>
      </c>
      <c r="AA21" s="11"/>
      <c r="AB21" s="11"/>
      <c r="AC21" s="11">
        <v>22967</v>
      </c>
      <c r="AD21" s="11">
        <v>31343</v>
      </c>
      <c r="AE21" s="11">
        <v>2109</v>
      </c>
      <c r="AF21" s="11"/>
      <c r="AG21" s="11">
        <v>527980</v>
      </c>
      <c r="AH21" s="39">
        <v>432712</v>
      </c>
      <c r="AI21" s="11">
        <f>3+10965</f>
        <v>10968</v>
      </c>
      <c r="AJ21" s="11">
        <f t="shared" si="1"/>
        <v>3766828.4829999995</v>
      </c>
    </row>
    <row r="22" spans="1:36" x14ac:dyDescent="0.25">
      <c r="A22" s="19"/>
    </row>
    <row r="23" spans="1:36" x14ac:dyDescent="0.25">
      <c r="A23" s="36" t="s">
        <v>241</v>
      </c>
    </row>
    <row r="24" spans="1:36" x14ac:dyDescent="0.25">
      <c r="A24" s="4" t="s">
        <v>0</v>
      </c>
      <c r="B24" s="77" t="s">
        <v>1</v>
      </c>
      <c r="C24" s="77" t="s">
        <v>2</v>
      </c>
      <c r="D24" s="77" t="s">
        <v>3</v>
      </c>
      <c r="E24" s="77" t="s">
        <v>4</v>
      </c>
      <c r="F24" s="77" t="s">
        <v>5</v>
      </c>
      <c r="G24" s="77" t="s">
        <v>6</v>
      </c>
      <c r="H24" s="77" t="s">
        <v>7</v>
      </c>
      <c r="I24" s="77" t="s">
        <v>8</v>
      </c>
      <c r="J24" s="77" t="s">
        <v>9</v>
      </c>
      <c r="K24" s="77" t="s">
        <v>10</v>
      </c>
      <c r="L24" s="77" t="s">
        <v>11</v>
      </c>
      <c r="M24" s="77" t="s">
        <v>12</v>
      </c>
      <c r="N24" s="77" t="s">
        <v>13</v>
      </c>
      <c r="O24" s="77" t="s">
        <v>14</v>
      </c>
      <c r="P24" s="77" t="s">
        <v>15</v>
      </c>
      <c r="Q24" s="77" t="s">
        <v>16</v>
      </c>
      <c r="R24" s="77" t="s">
        <v>17</v>
      </c>
      <c r="S24" s="77" t="s">
        <v>18</v>
      </c>
      <c r="T24" s="77" t="s">
        <v>19</v>
      </c>
      <c r="U24" s="77" t="s">
        <v>20</v>
      </c>
      <c r="V24" s="77" t="s">
        <v>21</v>
      </c>
      <c r="W24" s="77" t="s">
        <v>22</v>
      </c>
      <c r="X24" s="77" t="s">
        <v>23</v>
      </c>
      <c r="Y24" s="77" t="s">
        <v>24</v>
      </c>
      <c r="Z24" s="77" t="s">
        <v>25</v>
      </c>
      <c r="AA24" s="77" t="s">
        <v>26</v>
      </c>
      <c r="AB24" s="77" t="s">
        <v>27</v>
      </c>
      <c r="AC24" s="77" t="s">
        <v>28</v>
      </c>
      <c r="AD24" s="77" t="s">
        <v>29</v>
      </c>
      <c r="AE24" s="77" t="s">
        <v>30</v>
      </c>
      <c r="AF24" s="77" t="s">
        <v>31</v>
      </c>
      <c r="AG24" s="77" t="s">
        <v>32</v>
      </c>
      <c r="AH24" s="76" t="s">
        <v>33</v>
      </c>
      <c r="AI24" s="77" t="s">
        <v>34</v>
      </c>
      <c r="AJ24" s="77" t="s">
        <v>35</v>
      </c>
    </row>
    <row r="25" spans="1:36" x14ac:dyDescent="0.25">
      <c r="A25" s="29" t="s">
        <v>251</v>
      </c>
      <c r="B25" s="11">
        <v>100524</v>
      </c>
      <c r="C25" s="11"/>
      <c r="D25" s="11"/>
      <c r="E25" s="11"/>
      <c r="F25" s="11">
        <v>4052239</v>
      </c>
      <c r="G25" s="11">
        <v>1642386</v>
      </c>
      <c r="H25" s="11">
        <v>2635884</v>
      </c>
      <c r="I25" s="11"/>
      <c r="J25" s="11">
        <v>14611</v>
      </c>
      <c r="K25" s="11">
        <v>535</v>
      </c>
      <c r="L25" s="11"/>
      <c r="M25" s="11">
        <f>203799+834674</f>
        <v>1038473</v>
      </c>
      <c r="N25" s="11">
        <v>379886</v>
      </c>
      <c r="O25" s="11">
        <v>3421962</v>
      </c>
      <c r="P25" s="11">
        <v>7356072</v>
      </c>
      <c r="Q25" s="11">
        <v>4073501</v>
      </c>
      <c r="R25" s="11">
        <v>149690</v>
      </c>
      <c r="S25" s="11">
        <f>699964+68824</f>
        <v>768788</v>
      </c>
      <c r="T25" s="11">
        <v>383625</v>
      </c>
      <c r="U25" s="11"/>
      <c r="V25" s="11">
        <v>9962824.4499999993</v>
      </c>
      <c r="W25" s="11">
        <v>14415823</v>
      </c>
      <c r="X25" s="11">
        <v>6233388</v>
      </c>
      <c r="Y25" s="11">
        <f>8381+269</f>
        <v>8650</v>
      </c>
      <c r="Z25" s="11">
        <v>4043283</v>
      </c>
      <c r="AA25" s="11"/>
      <c r="AB25" s="11"/>
      <c r="AC25" s="11">
        <v>2799776</v>
      </c>
      <c r="AD25" s="11">
        <v>1461993</v>
      </c>
      <c r="AE25" s="11">
        <v>1573074</v>
      </c>
      <c r="AF25" s="11"/>
      <c r="AG25" s="11">
        <v>3160110</v>
      </c>
      <c r="AH25" s="39">
        <v>9012893</v>
      </c>
      <c r="AI25" s="11">
        <f>612947+239866</f>
        <v>852813</v>
      </c>
      <c r="AJ25" s="11">
        <f t="shared" ref="AJ25:AJ31" si="3">SUM(B25:AI25)</f>
        <v>79542803.450000003</v>
      </c>
    </row>
    <row r="26" spans="1:36" x14ac:dyDescent="0.25">
      <c r="A26" s="29" t="s">
        <v>301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>
        <v>8073.9879999999994</v>
      </c>
      <c r="W26" s="11"/>
      <c r="X26" s="11">
        <v>-6914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>
        <f t="shared" ref="AJ26:AJ30" si="4">SUM(B26:AI26)</f>
        <v>1159.9879999999994</v>
      </c>
    </row>
    <row r="27" spans="1:36" x14ac:dyDescent="0.25">
      <c r="A27" s="29" t="s">
        <v>302</v>
      </c>
      <c r="B27" s="11">
        <v>56349</v>
      </c>
      <c r="C27" s="11"/>
      <c r="D27" s="11"/>
      <c r="E27" s="11"/>
      <c r="F27" s="11">
        <v>389964</v>
      </c>
      <c r="G27" s="11">
        <v>106149</v>
      </c>
      <c r="H27" s="11">
        <v>411091</v>
      </c>
      <c r="I27" s="11"/>
      <c r="J27" s="11"/>
      <c r="K27" s="11">
        <v>-72134</v>
      </c>
      <c r="L27" s="11"/>
      <c r="M27" s="11">
        <f>9159+41821</f>
        <v>50980</v>
      </c>
      <c r="N27" s="11">
        <v>38857</v>
      </c>
      <c r="O27" s="11"/>
      <c r="P27" s="11"/>
      <c r="Q27" s="11">
        <v>691155</v>
      </c>
      <c r="R27" s="11">
        <v>8192</v>
      </c>
      <c r="S27" s="11">
        <f>3440+53668</f>
        <v>57108</v>
      </c>
      <c r="T27" s="11"/>
      <c r="U27" s="11"/>
      <c r="V27" s="11">
        <v>1946844.9679999999</v>
      </c>
      <c r="W27" s="11"/>
      <c r="X27" s="11">
        <v>189113</v>
      </c>
      <c r="Y27" s="11">
        <v>436</v>
      </c>
      <c r="Z27" s="11">
        <v>1029156</v>
      </c>
      <c r="AA27" s="11"/>
      <c r="AB27" s="11"/>
      <c r="AC27" s="11"/>
      <c r="AD27" s="11">
        <v>82926</v>
      </c>
      <c r="AE27" s="11">
        <v>90719</v>
      </c>
      <c r="AF27" s="11"/>
      <c r="AG27" s="11">
        <v>905708</v>
      </c>
      <c r="AH27" s="39">
        <v>548455</v>
      </c>
      <c r="AI27" s="11">
        <f>48079+16604</f>
        <v>64683</v>
      </c>
      <c r="AJ27" s="11">
        <f t="shared" si="4"/>
        <v>6595751.9680000003</v>
      </c>
    </row>
    <row r="28" spans="1:36" x14ac:dyDescent="0.25">
      <c r="A28" s="29" t="s">
        <v>305</v>
      </c>
      <c r="B28" s="11">
        <v>44175</v>
      </c>
      <c r="C28" s="11"/>
      <c r="D28" s="11"/>
      <c r="E28" s="11"/>
      <c r="F28" s="11"/>
      <c r="G28" s="11">
        <v>1536238</v>
      </c>
      <c r="H28" s="11"/>
      <c r="I28" s="11"/>
      <c r="J28" s="11"/>
      <c r="K28" s="11"/>
      <c r="L28" s="11"/>
      <c r="M28" s="11">
        <f>194640+792853</f>
        <v>987493</v>
      </c>
      <c r="N28" s="11">
        <v>341029</v>
      </c>
      <c r="O28" s="11"/>
      <c r="P28" s="11"/>
      <c r="Q28" s="11"/>
      <c r="R28" s="11"/>
      <c r="S28" s="11"/>
      <c r="T28" s="11"/>
      <c r="U28" s="11"/>
      <c r="V28" s="11">
        <v>8024053.4699999988</v>
      </c>
      <c r="W28" s="11"/>
      <c r="X28" s="11"/>
      <c r="Y28" s="11"/>
      <c r="Z28" s="11"/>
      <c r="AA28" s="11"/>
      <c r="AB28" s="11"/>
      <c r="AC28" s="11"/>
      <c r="AD28" s="11"/>
      <c r="AE28" s="11">
        <v>1482355</v>
      </c>
      <c r="AF28" s="11"/>
      <c r="AG28" s="11"/>
      <c r="AH28" s="11"/>
      <c r="AI28" s="11"/>
      <c r="AJ28" s="11">
        <f t="shared" si="4"/>
        <v>12415343.469999999</v>
      </c>
    </row>
    <row r="29" spans="1:36" x14ac:dyDescent="0.25">
      <c r="A29" s="29" t="s">
        <v>304</v>
      </c>
      <c r="B29" s="11">
        <v>287806</v>
      </c>
      <c r="C29" s="11"/>
      <c r="D29" s="11"/>
      <c r="E29" s="11"/>
      <c r="F29" s="11">
        <v>61175083</v>
      </c>
      <c r="G29" s="11">
        <v>18928410</v>
      </c>
      <c r="H29" s="11">
        <v>44099209</v>
      </c>
      <c r="I29" s="11"/>
      <c r="J29" s="11">
        <v>98944</v>
      </c>
      <c r="K29" s="11">
        <v>81091</v>
      </c>
      <c r="L29" s="11"/>
      <c r="M29" s="11">
        <f>16122906+861036</f>
        <v>16983942</v>
      </c>
      <c r="N29" s="11">
        <v>3507616</v>
      </c>
      <c r="O29" s="11">
        <f>32399280+2339749</f>
        <v>34739029</v>
      </c>
      <c r="P29" s="11">
        <v>94578549</v>
      </c>
      <c r="Q29" s="11">
        <v>38692160</v>
      </c>
      <c r="R29" s="11">
        <v>1520081</v>
      </c>
      <c r="S29" s="11">
        <f>6123164+503842</f>
        <v>6627006</v>
      </c>
      <c r="T29" s="11">
        <v>10892892</v>
      </c>
      <c r="U29" s="11"/>
      <c r="V29" s="11">
        <v>122985101.15799999</v>
      </c>
      <c r="W29" s="11">
        <v>181340229</v>
      </c>
      <c r="X29" s="11">
        <v>106061595</v>
      </c>
      <c r="Y29" s="11">
        <f>4527+1292699</f>
        <v>1297226</v>
      </c>
      <c r="Z29" s="11">
        <v>42372418</v>
      </c>
      <c r="AA29" s="11"/>
      <c r="AB29" s="11"/>
      <c r="AC29" s="11">
        <v>29969120</v>
      </c>
      <c r="AD29" s="11">
        <v>15226712</v>
      </c>
      <c r="AE29" s="11">
        <v>59841926</v>
      </c>
      <c r="AF29" s="11"/>
      <c r="AG29" s="11">
        <v>31593766</v>
      </c>
      <c r="AH29" s="39">
        <v>147547282</v>
      </c>
      <c r="AI29" s="11">
        <f>7299305+518603</f>
        <v>7817908</v>
      </c>
      <c r="AJ29" s="11">
        <f t="shared" si="4"/>
        <v>1078265101.158</v>
      </c>
    </row>
    <row r="30" spans="1:36" x14ac:dyDescent="0.25">
      <c r="A30" s="29" t="s">
        <v>303</v>
      </c>
      <c r="B30" s="11">
        <v>147214</v>
      </c>
      <c r="C30" s="11"/>
      <c r="D30" s="11"/>
      <c r="E30" s="11"/>
      <c r="F30" s="11">
        <v>57086160</v>
      </c>
      <c r="G30" s="11">
        <v>18160687</v>
      </c>
      <c r="H30" s="11">
        <v>40515485</v>
      </c>
      <c r="I30" s="11"/>
      <c r="J30" s="11">
        <v>-25763</v>
      </c>
      <c r="K30" s="11">
        <v>76214</v>
      </c>
      <c r="L30" s="11"/>
      <c r="M30" s="11">
        <f>15391351+808323</f>
        <v>16199674</v>
      </c>
      <c r="N30" s="11">
        <v>2221534</v>
      </c>
      <c r="O30" s="11">
        <f>-29869297-2000097</f>
        <v>-31869394</v>
      </c>
      <c r="P30" s="11">
        <v>88872535</v>
      </c>
      <c r="Q30" s="11">
        <v>35543029</v>
      </c>
      <c r="R30" s="11">
        <v>1296747</v>
      </c>
      <c r="S30" s="11">
        <f>5533892+488164</f>
        <v>6022056</v>
      </c>
      <c r="T30" s="11">
        <v>-9758919</v>
      </c>
      <c r="U30" s="11"/>
      <c r="V30" s="11">
        <v>120611039.62499997</v>
      </c>
      <c r="W30" s="11">
        <v>173022831</v>
      </c>
      <c r="X30" s="11">
        <v>101126016</v>
      </c>
      <c r="Y30" s="11">
        <f>2796+1086772</f>
        <v>1089568</v>
      </c>
      <c r="Z30" s="11">
        <v>40953020</v>
      </c>
      <c r="AA30" s="11"/>
      <c r="AB30" s="11"/>
      <c r="AC30" s="11">
        <v>-27957350</v>
      </c>
      <c r="AD30" s="11">
        <v>14680991</v>
      </c>
      <c r="AE30" s="11">
        <v>57492388</v>
      </c>
      <c r="AF30" s="11"/>
      <c r="AG30" s="11">
        <v>28207084</v>
      </c>
      <c r="AH30" s="39">
        <v>141142353</v>
      </c>
      <c r="AI30" s="11">
        <f>6764302+407518</f>
        <v>7171820</v>
      </c>
      <c r="AJ30" s="11">
        <f t="shared" si="4"/>
        <v>882027019.625</v>
      </c>
    </row>
    <row r="31" spans="1:36" x14ac:dyDescent="0.25">
      <c r="A31" s="29" t="s">
        <v>298</v>
      </c>
      <c r="B31" s="11">
        <v>184767</v>
      </c>
      <c r="C31" s="11"/>
      <c r="D31" s="11"/>
      <c r="E31" s="11"/>
      <c r="F31" s="11">
        <v>7751198</v>
      </c>
      <c r="G31" s="11">
        <v>2303961</v>
      </c>
      <c r="H31" s="11">
        <v>5808517</v>
      </c>
      <c r="I31" s="11"/>
      <c r="J31" s="11">
        <v>77358</v>
      </c>
      <c r="K31" s="11">
        <v>77546</v>
      </c>
      <c r="L31" s="11"/>
      <c r="M31" s="11">
        <f>926194+845565</f>
        <v>1771759</v>
      </c>
      <c r="N31" s="11">
        <v>1627110</v>
      </c>
      <c r="O31" s="11">
        <v>4727533</v>
      </c>
      <c r="P31" s="11">
        <v>11807616</v>
      </c>
      <c r="Q31" s="11">
        <v>6531477</v>
      </c>
      <c r="R31" s="11">
        <v>364832</v>
      </c>
      <c r="S31" s="11">
        <f>682069+625621</f>
        <v>1307690</v>
      </c>
      <c r="T31" s="11">
        <v>1228986</v>
      </c>
      <c r="U31" s="11"/>
      <c r="V31" s="11">
        <v>10398115.003000021</v>
      </c>
      <c r="W31" s="11">
        <v>21506150</v>
      </c>
      <c r="X31" s="11">
        <v>10972940</v>
      </c>
      <c r="Y31" s="11">
        <f>1986+213885</f>
        <v>215871</v>
      </c>
      <c r="Z31" s="11">
        <v>4433525</v>
      </c>
      <c r="AA31" s="11"/>
      <c r="AB31" s="11"/>
      <c r="AC31" s="11">
        <v>4088938</v>
      </c>
      <c r="AD31" s="11">
        <v>1924788</v>
      </c>
      <c r="AE31" s="11">
        <v>3831892</v>
      </c>
      <c r="AF31" s="11"/>
      <c r="AG31" s="11">
        <v>5641084</v>
      </c>
      <c r="AH31" s="39">
        <v>14869367</v>
      </c>
      <c r="AI31" s="11">
        <f>675953+758265</f>
        <v>1434218</v>
      </c>
      <c r="AJ31" s="11">
        <f t="shared" si="3"/>
        <v>124887238.00300002</v>
      </c>
    </row>
    <row r="32" spans="1:36" x14ac:dyDescent="0.25">
      <c r="A32" s="19"/>
    </row>
    <row r="33" spans="1:36" x14ac:dyDescent="0.25">
      <c r="A33" s="36" t="s">
        <v>242</v>
      </c>
    </row>
    <row r="34" spans="1:36" x14ac:dyDescent="0.25">
      <c r="A34" s="4" t="s">
        <v>0</v>
      </c>
      <c r="B34" s="77" t="s">
        <v>1</v>
      </c>
      <c r="C34" s="77" t="s">
        <v>2</v>
      </c>
      <c r="D34" s="77" t="s">
        <v>3</v>
      </c>
      <c r="E34" s="77" t="s">
        <v>4</v>
      </c>
      <c r="F34" s="77" t="s">
        <v>5</v>
      </c>
      <c r="G34" s="77" t="s">
        <v>6</v>
      </c>
      <c r="H34" s="77" t="s">
        <v>7</v>
      </c>
      <c r="I34" s="77" t="s">
        <v>8</v>
      </c>
      <c r="J34" s="77" t="s">
        <v>9</v>
      </c>
      <c r="K34" s="77" t="s">
        <v>10</v>
      </c>
      <c r="L34" s="77" t="s">
        <v>11</v>
      </c>
      <c r="M34" s="77" t="s">
        <v>12</v>
      </c>
      <c r="N34" s="77" t="s">
        <v>13</v>
      </c>
      <c r="O34" s="77" t="s">
        <v>14</v>
      </c>
      <c r="P34" s="77" t="s">
        <v>15</v>
      </c>
      <c r="Q34" s="77" t="s">
        <v>16</v>
      </c>
      <c r="R34" s="77" t="s">
        <v>17</v>
      </c>
      <c r="S34" s="77" t="s">
        <v>18</v>
      </c>
      <c r="T34" s="77" t="s">
        <v>19</v>
      </c>
      <c r="U34" s="77" t="s">
        <v>20</v>
      </c>
      <c r="V34" s="77" t="s">
        <v>21</v>
      </c>
      <c r="W34" s="77" t="s">
        <v>22</v>
      </c>
      <c r="X34" s="77" t="s">
        <v>23</v>
      </c>
      <c r="Y34" s="77" t="s">
        <v>24</v>
      </c>
      <c r="Z34" s="77" t="s">
        <v>25</v>
      </c>
      <c r="AA34" s="77" t="s">
        <v>26</v>
      </c>
      <c r="AB34" s="77" t="s">
        <v>27</v>
      </c>
      <c r="AC34" s="77" t="s">
        <v>28</v>
      </c>
      <c r="AD34" s="77" t="s">
        <v>29</v>
      </c>
      <c r="AE34" s="77" t="s">
        <v>30</v>
      </c>
      <c r="AF34" s="77" t="s">
        <v>31</v>
      </c>
      <c r="AG34" s="77" t="s">
        <v>32</v>
      </c>
      <c r="AH34" s="76" t="s">
        <v>33</v>
      </c>
      <c r="AI34" s="77" t="s">
        <v>34</v>
      </c>
      <c r="AJ34" s="77" t="s">
        <v>35</v>
      </c>
    </row>
    <row r="35" spans="1:36" x14ac:dyDescent="0.25">
      <c r="A35" s="29" t="s">
        <v>251</v>
      </c>
      <c r="B35" s="11"/>
      <c r="C35" s="11"/>
      <c r="D35" s="11"/>
      <c r="E35" s="11"/>
      <c r="F35" s="11">
        <v>115326</v>
      </c>
      <c r="G35" s="11">
        <v>28515</v>
      </c>
      <c r="H35" s="11">
        <v>18408</v>
      </c>
      <c r="I35" s="11"/>
      <c r="J35" s="11">
        <v>3</v>
      </c>
      <c r="K35" s="11"/>
      <c r="L35" s="11"/>
      <c r="M35" s="11">
        <v>54077</v>
      </c>
      <c r="N35" s="11"/>
      <c r="O35" s="11">
        <v>208043</v>
      </c>
      <c r="P35" s="11">
        <v>168396</v>
      </c>
      <c r="Q35" s="11">
        <v>56953</v>
      </c>
      <c r="R35" s="11"/>
      <c r="S35" s="11">
        <v>28301</v>
      </c>
      <c r="T35" s="11">
        <v>1335</v>
      </c>
      <c r="U35" s="11"/>
      <c r="V35" s="11">
        <v>225484.723</v>
      </c>
      <c r="W35" s="11">
        <v>354137</v>
      </c>
      <c r="X35" s="11">
        <v>183296</v>
      </c>
      <c r="Y35" s="11">
        <v>12</v>
      </c>
      <c r="Z35" s="11">
        <v>23589</v>
      </c>
      <c r="AA35" s="11"/>
      <c r="AB35" s="11"/>
      <c r="AC35" s="11">
        <v>41125</v>
      </c>
      <c r="AD35" s="11">
        <v>6285</v>
      </c>
      <c r="AE35" s="11">
        <v>3639</v>
      </c>
      <c r="AF35" s="11"/>
      <c r="AG35" s="11">
        <v>42444</v>
      </c>
      <c r="AH35" s="39">
        <v>624839</v>
      </c>
      <c r="AI35" s="11">
        <v>3900</v>
      </c>
      <c r="AJ35" s="11">
        <f t="shared" ref="AJ35:AJ41" si="5">SUM(B35:AI35)</f>
        <v>2188107.7230000002</v>
      </c>
    </row>
    <row r="36" spans="1:36" x14ac:dyDescent="0.25">
      <c r="A36" s="29" t="s">
        <v>301</v>
      </c>
      <c r="B36" s="11"/>
      <c r="C36" s="11"/>
      <c r="D36" s="11"/>
      <c r="E36" s="11"/>
      <c r="F36" s="11">
        <v>640</v>
      </c>
      <c r="G36" s="11">
        <v>25</v>
      </c>
      <c r="H36" s="11">
        <v>131</v>
      </c>
      <c r="I36" s="11"/>
      <c r="J36" s="11"/>
      <c r="K36" s="11">
        <v>16</v>
      </c>
      <c r="L36" s="11"/>
      <c r="M36" s="11"/>
      <c r="N36" s="11">
        <v>24</v>
      </c>
      <c r="O36" s="11"/>
      <c r="P36" s="11"/>
      <c r="Q36" s="11"/>
      <c r="R36" s="11">
        <v>16</v>
      </c>
      <c r="S36" s="11"/>
      <c r="T36" s="11"/>
      <c r="U36" s="11"/>
      <c r="V36" s="11">
        <v>24143.621999999999</v>
      </c>
      <c r="W36" s="11"/>
      <c r="X36" s="11">
        <v>44104</v>
      </c>
      <c r="Y36" s="11"/>
      <c r="Z36" s="11">
        <v>65</v>
      </c>
      <c r="AA36" s="11"/>
      <c r="AB36" s="11"/>
      <c r="AC36" s="11"/>
      <c r="AD36" s="11"/>
      <c r="AE36" s="11">
        <v>33</v>
      </c>
      <c r="AF36" s="11"/>
      <c r="AG36" s="11">
        <v>462</v>
      </c>
      <c r="AH36" s="39">
        <v>44177</v>
      </c>
      <c r="AI36" s="11">
        <v>-27</v>
      </c>
      <c r="AJ36" s="11">
        <f t="shared" ref="AJ36:AJ40" si="6">SUM(B36:AI36)</f>
        <v>113809.622</v>
      </c>
    </row>
    <row r="37" spans="1:36" x14ac:dyDescent="0.25">
      <c r="A37" s="29" t="s">
        <v>302</v>
      </c>
      <c r="B37" s="11"/>
      <c r="C37" s="11"/>
      <c r="D37" s="11"/>
      <c r="E37" s="11"/>
      <c r="F37" s="11">
        <v>89155</v>
      </c>
      <c r="G37" s="11">
        <v>19024</v>
      </c>
      <c r="H37" s="11">
        <v>13245</v>
      </c>
      <c r="I37" s="11"/>
      <c r="J37" s="11"/>
      <c r="K37" s="11">
        <v>-2712</v>
      </c>
      <c r="L37" s="11"/>
      <c r="M37" s="11">
        <v>46931</v>
      </c>
      <c r="N37" s="11"/>
      <c r="O37" s="11"/>
      <c r="P37" s="11"/>
      <c r="Q37" s="11">
        <v>38315</v>
      </c>
      <c r="R37" s="11"/>
      <c r="S37" s="11">
        <v>20107</v>
      </c>
      <c r="T37" s="11"/>
      <c r="U37" s="11"/>
      <c r="V37" s="11">
        <v>33316.824999999997</v>
      </c>
      <c r="W37" s="11"/>
      <c r="X37" s="11">
        <v>3202</v>
      </c>
      <c r="Y37" s="11">
        <v>10</v>
      </c>
      <c r="Z37" s="11">
        <v>9338</v>
      </c>
      <c r="AA37" s="11"/>
      <c r="AB37" s="11"/>
      <c r="AC37" s="11"/>
      <c r="AD37" s="11">
        <v>2473</v>
      </c>
      <c r="AE37" s="11">
        <v>756</v>
      </c>
      <c r="AF37" s="11"/>
      <c r="AG37" s="11">
        <v>38216</v>
      </c>
      <c r="AH37" s="39">
        <v>324773</v>
      </c>
      <c r="AI37" s="11">
        <v>3315</v>
      </c>
      <c r="AJ37" s="11">
        <f t="shared" si="6"/>
        <v>639464.82499999995</v>
      </c>
    </row>
    <row r="38" spans="1:36" x14ac:dyDescent="0.25">
      <c r="A38" s="29" t="s">
        <v>305</v>
      </c>
      <c r="B38" s="11"/>
      <c r="C38" s="11"/>
      <c r="D38" s="11"/>
      <c r="E38" s="11"/>
      <c r="F38" s="11"/>
      <c r="G38" s="11">
        <v>9516</v>
      </c>
      <c r="H38" s="11"/>
      <c r="I38" s="11"/>
      <c r="J38" s="11"/>
      <c r="K38" s="11"/>
      <c r="L38" s="11"/>
      <c r="M38" s="11">
        <v>7146</v>
      </c>
      <c r="N38" s="11">
        <v>24</v>
      </c>
      <c r="O38" s="11"/>
      <c r="P38" s="11"/>
      <c r="Q38" s="11"/>
      <c r="R38" s="11"/>
      <c r="S38" s="11"/>
      <c r="T38" s="11"/>
      <c r="U38" s="11"/>
      <c r="V38" s="11">
        <v>216311.52000000002</v>
      </c>
      <c r="W38" s="11"/>
      <c r="X38" s="11"/>
      <c r="Y38" s="11"/>
      <c r="Z38" s="11"/>
      <c r="AA38" s="11"/>
      <c r="AB38" s="11"/>
      <c r="AC38" s="11"/>
      <c r="AD38" s="11"/>
      <c r="AE38" s="11">
        <v>2916</v>
      </c>
      <c r="AF38" s="11"/>
      <c r="AG38" s="11"/>
      <c r="AH38" s="11"/>
      <c r="AI38" s="11"/>
      <c r="AJ38" s="11">
        <f t="shared" si="6"/>
        <v>235913.52000000002</v>
      </c>
    </row>
    <row r="39" spans="1:36" x14ac:dyDescent="0.25">
      <c r="A39" s="29" t="s">
        <v>304</v>
      </c>
      <c r="B39" s="11"/>
      <c r="C39" s="11"/>
      <c r="D39" s="11"/>
      <c r="E39" s="11"/>
      <c r="F39" s="11">
        <v>203279</v>
      </c>
      <c r="G39" s="11">
        <v>102639</v>
      </c>
      <c r="H39" s="11">
        <v>42298</v>
      </c>
      <c r="I39" s="11"/>
      <c r="J39" s="11">
        <v>2394</v>
      </c>
      <c r="K39" s="11">
        <v>953</v>
      </c>
      <c r="L39" s="11"/>
      <c r="M39" s="11">
        <v>97390</v>
      </c>
      <c r="N39" s="11">
        <v>2943</v>
      </c>
      <c r="O39" s="11">
        <v>934088</v>
      </c>
      <c r="P39" s="11">
        <v>3269184</v>
      </c>
      <c r="Q39" s="11">
        <v>239364</v>
      </c>
      <c r="R39" s="11">
        <v>275</v>
      </c>
      <c r="S39" s="11">
        <v>386483</v>
      </c>
      <c r="T39" s="11">
        <v>105376</v>
      </c>
      <c r="U39" s="11"/>
      <c r="V39" s="11">
        <v>2641963.66</v>
      </c>
      <c r="W39" s="11">
        <v>5911806</v>
      </c>
      <c r="X39" s="11">
        <v>3421577</v>
      </c>
      <c r="Y39" s="11">
        <v>1478</v>
      </c>
      <c r="Z39" s="11">
        <v>350248</v>
      </c>
      <c r="AA39" s="11"/>
      <c r="AB39" s="11"/>
      <c r="AC39" s="11">
        <v>1027112</v>
      </c>
      <c r="AD39" s="11">
        <v>80681</v>
      </c>
      <c r="AE39" s="11">
        <v>89283</v>
      </c>
      <c r="AF39" s="11"/>
      <c r="AG39" s="11">
        <v>57635</v>
      </c>
      <c r="AH39" s="39">
        <v>4111234</v>
      </c>
      <c r="AI39" s="11">
        <v>63499</v>
      </c>
      <c r="AJ39" s="11">
        <f t="shared" si="6"/>
        <v>23143182.66</v>
      </c>
    </row>
    <row r="40" spans="1:36" x14ac:dyDescent="0.25">
      <c r="A40" s="29" t="s">
        <v>303</v>
      </c>
      <c r="B40" s="11"/>
      <c r="C40" s="11"/>
      <c r="D40" s="11"/>
      <c r="E40" s="11"/>
      <c r="F40" s="11">
        <v>208077</v>
      </c>
      <c r="G40" s="11">
        <v>103869</v>
      </c>
      <c r="H40" s="11">
        <v>35270</v>
      </c>
      <c r="I40" s="11"/>
      <c r="J40" s="11">
        <v>-1841</v>
      </c>
      <c r="K40" s="11">
        <v>2716</v>
      </c>
      <c r="L40" s="11"/>
      <c r="M40" s="11">
        <v>91941</v>
      </c>
      <c r="N40" s="11">
        <v>1199</v>
      </c>
      <c r="O40" s="11">
        <v>-1002597</v>
      </c>
      <c r="P40" s="11">
        <v>2926366</v>
      </c>
      <c r="Q40" s="11">
        <v>202514</v>
      </c>
      <c r="R40" s="11">
        <v>140</v>
      </c>
      <c r="S40" s="11">
        <v>423528</v>
      </c>
      <c r="T40" s="11">
        <v>-117389</v>
      </c>
      <c r="U40" s="11"/>
      <c r="V40" s="11">
        <v>2887581.7609999999</v>
      </c>
      <c r="W40" s="11">
        <v>5822990</v>
      </c>
      <c r="X40" s="11">
        <v>3205119</v>
      </c>
      <c r="Y40" s="11">
        <v>927</v>
      </c>
      <c r="Z40" s="11">
        <v>324591</v>
      </c>
      <c r="AA40" s="11"/>
      <c r="AB40" s="11"/>
      <c r="AC40" s="11">
        <v>-1001428</v>
      </c>
      <c r="AD40" s="11">
        <v>63931</v>
      </c>
      <c r="AE40" s="11">
        <v>64001</v>
      </c>
      <c r="AF40" s="11"/>
      <c r="AG40" s="11">
        <v>58707</v>
      </c>
      <c r="AH40" s="39">
        <v>4163346</v>
      </c>
      <c r="AI40" s="11">
        <v>67958</v>
      </c>
      <c r="AJ40" s="11">
        <f t="shared" si="6"/>
        <v>18531516.761</v>
      </c>
    </row>
    <row r="41" spans="1:36" x14ac:dyDescent="0.25">
      <c r="A41" s="29" t="s">
        <v>298</v>
      </c>
      <c r="B41" s="11"/>
      <c r="C41" s="11"/>
      <c r="D41" s="11"/>
      <c r="E41" s="11"/>
      <c r="F41" s="11">
        <v>22013</v>
      </c>
      <c r="G41" s="11">
        <v>8286</v>
      </c>
      <c r="H41" s="11">
        <v>12322</v>
      </c>
      <c r="I41" s="11"/>
      <c r="J41" s="11">
        <v>47</v>
      </c>
      <c r="K41" s="11">
        <v>965</v>
      </c>
      <c r="L41" s="11"/>
      <c r="M41" s="11">
        <v>12595</v>
      </c>
      <c r="N41" s="11">
        <v>1768</v>
      </c>
      <c r="O41" s="11">
        <v>62659</v>
      </c>
      <c r="P41" s="11">
        <v>122715</v>
      </c>
      <c r="Q41" s="11">
        <v>55488</v>
      </c>
      <c r="R41" s="11">
        <v>151</v>
      </c>
      <c r="S41" s="11">
        <v>1074</v>
      </c>
      <c r="T41" s="11">
        <v>-1875</v>
      </c>
      <c r="U41" s="11"/>
      <c r="V41" s="11">
        <v>-29306.580999999773</v>
      </c>
      <c r="W41" s="11">
        <v>529766</v>
      </c>
      <c r="X41" s="11">
        <v>440656</v>
      </c>
      <c r="Y41" s="11">
        <v>554</v>
      </c>
      <c r="Z41" s="11">
        <v>39973</v>
      </c>
      <c r="AA41" s="11"/>
      <c r="AB41" s="11"/>
      <c r="AC41" s="11">
        <v>-918</v>
      </c>
      <c r="AD41" s="11">
        <v>20562</v>
      </c>
      <c r="AE41" s="11">
        <v>28198</v>
      </c>
      <c r="AF41" s="11"/>
      <c r="AG41" s="11">
        <v>3618</v>
      </c>
      <c r="AH41" s="39">
        <v>292131</v>
      </c>
      <c r="AI41" s="11">
        <v>-3901</v>
      </c>
      <c r="AJ41" s="11">
        <f t="shared" si="5"/>
        <v>1619540.4190000002</v>
      </c>
    </row>
    <row r="42" spans="1:36" x14ac:dyDescent="0.25">
      <c r="A42" s="19"/>
    </row>
    <row r="43" spans="1:36" x14ac:dyDescent="0.25">
      <c r="A43" s="36" t="s">
        <v>243</v>
      </c>
    </row>
    <row r="44" spans="1:36" x14ac:dyDescent="0.25">
      <c r="A44" s="4" t="s">
        <v>0</v>
      </c>
      <c r="B44" s="77" t="s">
        <v>1</v>
      </c>
      <c r="C44" s="77" t="s">
        <v>2</v>
      </c>
      <c r="D44" s="77" t="s">
        <v>3</v>
      </c>
      <c r="E44" s="77" t="s">
        <v>4</v>
      </c>
      <c r="F44" s="77" t="s">
        <v>5</v>
      </c>
      <c r="G44" s="77" t="s">
        <v>6</v>
      </c>
      <c r="H44" s="77" t="s">
        <v>7</v>
      </c>
      <c r="I44" s="77" t="s">
        <v>8</v>
      </c>
      <c r="J44" s="77" t="s">
        <v>9</v>
      </c>
      <c r="K44" s="77" t="s">
        <v>10</v>
      </c>
      <c r="L44" s="77" t="s">
        <v>11</v>
      </c>
      <c r="M44" s="77" t="s">
        <v>12</v>
      </c>
      <c r="N44" s="77" t="s">
        <v>13</v>
      </c>
      <c r="O44" s="77" t="s">
        <v>14</v>
      </c>
      <c r="P44" s="77" t="s">
        <v>15</v>
      </c>
      <c r="Q44" s="77" t="s">
        <v>16</v>
      </c>
      <c r="R44" s="77" t="s">
        <v>17</v>
      </c>
      <c r="S44" s="77" t="s">
        <v>18</v>
      </c>
      <c r="T44" s="77" t="s">
        <v>19</v>
      </c>
      <c r="U44" s="77" t="s">
        <v>20</v>
      </c>
      <c r="V44" s="77" t="s">
        <v>21</v>
      </c>
      <c r="W44" s="77" t="s">
        <v>22</v>
      </c>
      <c r="X44" s="77" t="s">
        <v>23</v>
      </c>
      <c r="Y44" s="77" t="s">
        <v>24</v>
      </c>
      <c r="Z44" s="77" t="s">
        <v>25</v>
      </c>
      <c r="AA44" s="77" t="s">
        <v>26</v>
      </c>
      <c r="AB44" s="77" t="s">
        <v>27</v>
      </c>
      <c r="AC44" s="77" t="s">
        <v>28</v>
      </c>
      <c r="AD44" s="77" t="s">
        <v>29</v>
      </c>
      <c r="AE44" s="77" t="s">
        <v>30</v>
      </c>
      <c r="AF44" s="77" t="s">
        <v>31</v>
      </c>
      <c r="AG44" s="77" t="s">
        <v>32</v>
      </c>
      <c r="AH44" s="76" t="s">
        <v>33</v>
      </c>
      <c r="AI44" s="77" t="s">
        <v>34</v>
      </c>
      <c r="AJ44" s="77" t="s">
        <v>35</v>
      </c>
    </row>
    <row r="45" spans="1:36" x14ac:dyDescent="0.25">
      <c r="A45" s="29" t="s">
        <v>251</v>
      </c>
      <c r="B45" s="11">
        <v>19082</v>
      </c>
      <c r="C45" s="11">
        <v>548717</v>
      </c>
      <c r="D45" s="11"/>
      <c r="E45" s="11">
        <v>3322026</v>
      </c>
      <c r="F45" s="11">
        <v>4624695</v>
      </c>
      <c r="G45" s="11">
        <v>487946</v>
      </c>
      <c r="H45" s="11">
        <v>271241</v>
      </c>
      <c r="I45" s="11">
        <v>649619</v>
      </c>
      <c r="J45" s="11">
        <v>61984</v>
      </c>
      <c r="K45" s="11">
        <v>23082</v>
      </c>
      <c r="L45" s="11"/>
      <c r="M45" s="11">
        <v>568561</v>
      </c>
      <c r="N45" s="11">
        <v>6890</v>
      </c>
      <c r="O45" s="11">
        <v>1864793</v>
      </c>
      <c r="P45" s="11">
        <v>3333156</v>
      </c>
      <c r="Q45" s="11">
        <v>1918819</v>
      </c>
      <c r="R45" s="11">
        <v>51637</v>
      </c>
      <c r="S45" s="11">
        <v>429455</v>
      </c>
      <c r="T45" s="11">
        <v>115523</v>
      </c>
      <c r="U45" s="11">
        <v>1000160</v>
      </c>
      <c r="V45" s="11">
        <v>12638811.007999999</v>
      </c>
      <c r="W45" s="11">
        <v>20171135</v>
      </c>
      <c r="X45" s="11">
        <v>8342254</v>
      </c>
      <c r="Y45" s="11"/>
      <c r="Z45" s="11">
        <v>1961732</v>
      </c>
      <c r="AA45" s="11">
        <v>1354</v>
      </c>
      <c r="AB45" s="11">
        <v>2875755</v>
      </c>
      <c r="AC45" s="11">
        <v>489418</v>
      </c>
      <c r="AD45" s="11">
        <v>647170</v>
      </c>
      <c r="AE45" s="11">
        <v>342</v>
      </c>
      <c r="AF45" s="11"/>
      <c r="AG45" s="11">
        <v>1028097</v>
      </c>
      <c r="AH45" s="39">
        <v>11669496</v>
      </c>
      <c r="AI45" s="11">
        <v>264779</v>
      </c>
      <c r="AJ45" s="11">
        <f t="shared" ref="AJ45:AJ51" si="7">SUM(B45:AI45)</f>
        <v>79387729.008000001</v>
      </c>
    </row>
    <row r="46" spans="1:36" x14ac:dyDescent="0.25">
      <c r="A46" s="29" t="s">
        <v>301</v>
      </c>
      <c r="B46" s="11"/>
      <c r="C46" s="11"/>
      <c r="D46" s="11"/>
      <c r="E46" s="11"/>
      <c r="F46" s="11"/>
      <c r="G46" s="11"/>
      <c r="H46" s="11"/>
      <c r="I46" s="11">
        <v>549416</v>
      </c>
      <c r="J46" s="11"/>
      <c r="K46" s="11">
        <v>14028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>
        <v>0</v>
      </c>
      <c r="W46" s="11"/>
      <c r="X46" s="11">
        <v>28945</v>
      </c>
      <c r="Y46" s="11"/>
      <c r="Z46" s="11"/>
      <c r="AA46" s="11"/>
      <c r="AB46" s="11">
        <v>75012</v>
      </c>
      <c r="AC46" s="11"/>
      <c r="AD46" s="11"/>
      <c r="AE46" s="11"/>
      <c r="AF46" s="11"/>
      <c r="AG46" s="11"/>
      <c r="AH46" s="11"/>
      <c r="AI46" s="11"/>
      <c r="AJ46" s="11">
        <f t="shared" ref="AJ46:AJ50" si="8">SUM(B46:AI46)</f>
        <v>667401</v>
      </c>
    </row>
    <row r="47" spans="1:36" x14ac:dyDescent="0.25">
      <c r="A47" s="29" t="s">
        <v>302</v>
      </c>
      <c r="B47" s="11">
        <v>1408</v>
      </c>
      <c r="C47" s="11">
        <v>26753</v>
      </c>
      <c r="D47" s="11"/>
      <c r="E47" s="11">
        <v>474837</v>
      </c>
      <c r="F47" s="11">
        <v>911009</v>
      </c>
      <c r="G47" s="11">
        <v>20733</v>
      </c>
      <c r="H47" s="11">
        <v>23455</v>
      </c>
      <c r="I47" s="11">
        <v>443678</v>
      </c>
      <c r="J47" s="11"/>
      <c r="K47" s="11">
        <v>-197446</v>
      </c>
      <c r="L47" s="11"/>
      <c r="M47" s="11">
        <v>157685</v>
      </c>
      <c r="N47" s="11">
        <v>344</v>
      </c>
      <c r="O47" s="11"/>
      <c r="P47" s="11"/>
      <c r="Q47" s="11">
        <v>153000</v>
      </c>
      <c r="R47" s="11">
        <v>2582</v>
      </c>
      <c r="S47" s="11">
        <v>19813</v>
      </c>
      <c r="T47" s="11"/>
      <c r="U47" s="11">
        <v>64476</v>
      </c>
      <c r="V47" s="11">
        <v>5419168.1529999999</v>
      </c>
      <c r="W47" s="11"/>
      <c r="X47" s="11">
        <v>626041</v>
      </c>
      <c r="Y47" s="11"/>
      <c r="Z47" s="11">
        <v>197756</v>
      </c>
      <c r="AA47" s="11">
        <v>379</v>
      </c>
      <c r="AB47" s="11">
        <v>1232271</v>
      </c>
      <c r="AC47" s="11"/>
      <c r="AD47" s="11">
        <v>32358</v>
      </c>
      <c r="AE47" s="11">
        <v>274</v>
      </c>
      <c r="AF47" s="11"/>
      <c r="AG47" s="11">
        <v>68761</v>
      </c>
      <c r="AH47" s="39">
        <v>801790</v>
      </c>
      <c r="AI47" s="11">
        <v>13252</v>
      </c>
      <c r="AJ47" s="11">
        <f t="shared" si="8"/>
        <v>10494377.153000001</v>
      </c>
    </row>
    <row r="48" spans="1:36" x14ac:dyDescent="0.25">
      <c r="A48" s="29" t="s">
        <v>305</v>
      </c>
      <c r="B48" s="11">
        <v>17674</v>
      </c>
      <c r="C48" s="11">
        <v>521964</v>
      </c>
      <c r="D48" s="11"/>
      <c r="E48" s="11"/>
      <c r="F48" s="11"/>
      <c r="G48" s="11">
        <v>467213</v>
      </c>
      <c r="H48" s="11"/>
      <c r="I48" s="11"/>
      <c r="J48" s="11"/>
      <c r="K48" s="11"/>
      <c r="L48" s="11"/>
      <c r="M48" s="11">
        <v>410876</v>
      </c>
      <c r="N48" s="11">
        <v>6545</v>
      </c>
      <c r="O48" s="11"/>
      <c r="P48" s="11"/>
      <c r="Q48" s="11"/>
      <c r="R48" s="11"/>
      <c r="S48" s="11"/>
      <c r="T48" s="11"/>
      <c r="U48" s="11"/>
      <c r="V48" s="11">
        <v>7219642.8549999995</v>
      </c>
      <c r="W48" s="11"/>
      <c r="X48" s="11"/>
      <c r="Y48" s="11"/>
      <c r="Z48" s="11"/>
      <c r="AA48" s="11">
        <v>975</v>
      </c>
      <c r="AB48" s="11"/>
      <c r="AC48" s="11"/>
      <c r="AD48" s="11"/>
      <c r="AE48" s="11">
        <v>68</v>
      </c>
      <c r="AF48" s="11"/>
      <c r="AG48" s="11"/>
      <c r="AH48" s="11"/>
      <c r="AI48" s="11"/>
      <c r="AJ48" s="11">
        <f t="shared" si="8"/>
        <v>8644957.8550000004</v>
      </c>
    </row>
    <row r="49" spans="1:36" x14ac:dyDescent="0.25">
      <c r="A49" s="29" t="s">
        <v>304</v>
      </c>
      <c r="B49" s="11">
        <v>96732</v>
      </c>
      <c r="C49" s="11">
        <v>529604</v>
      </c>
      <c r="D49" s="11"/>
      <c r="E49" s="11">
        <v>2008613</v>
      </c>
      <c r="F49" s="11">
        <v>3427101</v>
      </c>
      <c r="G49" s="11">
        <v>579939</v>
      </c>
      <c r="H49" s="11">
        <v>262695</v>
      </c>
      <c r="I49" s="11"/>
      <c r="J49" s="11">
        <v>105410</v>
      </c>
      <c r="K49" s="11">
        <v>135115</v>
      </c>
      <c r="L49" s="11"/>
      <c r="M49" s="11">
        <v>306543</v>
      </c>
      <c r="N49" s="11">
        <v>7527</v>
      </c>
      <c r="O49" s="11">
        <v>1615107</v>
      </c>
      <c r="P49" s="11">
        <v>5432079</v>
      </c>
      <c r="Q49" s="11">
        <v>1753155</v>
      </c>
      <c r="R49" s="11">
        <v>56187</v>
      </c>
      <c r="S49" s="11">
        <v>320672</v>
      </c>
      <c r="T49" s="11">
        <v>288248</v>
      </c>
      <c r="U49" s="11">
        <v>1179987</v>
      </c>
      <c r="V49" s="11">
        <v>7860289.3729999997</v>
      </c>
      <c r="W49" s="11">
        <v>13199224</v>
      </c>
      <c r="X49" s="11">
        <v>8964676</v>
      </c>
      <c r="Y49" s="11">
        <v>3178</v>
      </c>
      <c r="Z49" s="11">
        <v>2771655</v>
      </c>
      <c r="AA49" s="11">
        <v>5736</v>
      </c>
      <c r="AB49" s="11">
        <v>1673882</v>
      </c>
      <c r="AC49" s="11">
        <v>602548</v>
      </c>
      <c r="AD49" s="11">
        <v>1861199</v>
      </c>
      <c r="AE49" s="11">
        <v>4403</v>
      </c>
      <c r="AF49" s="11"/>
      <c r="AG49" s="11">
        <v>1587135</v>
      </c>
      <c r="AH49" s="39">
        <v>10939385</v>
      </c>
      <c r="AI49" s="11">
        <v>161828</v>
      </c>
      <c r="AJ49" s="11">
        <f t="shared" si="8"/>
        <v>67739852.372999996</v>
      </c>
    </row>
    <row r="50" spans="1:36" x14ac:dyDescent="0.25">
      <c r="A50" s="29" t="s">
        <v>303</v>
      </c>
      <c r="B50" s="11">
        <v>46962</v>
      </c>
      <c r="C50" s="11">
        <v>408856</v>
      </c>
      <c r="D50" s="11"/>
      <c r="E50" s="11">
        <v>1913094</v>
      </c>
      <c r="F50" s="11">
        <v>3105747</v>
      </c>
      <c r="G50" s="11">
        <v>528073</v>
      </c>
      <c r="H50" s="11">
        <v>254270</v>
      </c>
      <c r="I50" s="11">
        <v>31117</v>
      </c>
      <c r="J50" s="11">
        <v>-250484</v>
      </c>
      <c r="K50" s="11">
        <v>212426</v>
      </c>
      <c r="L50" s="11"/>
      <c r="M50" s="11">
        <v>304202</v>
      </c>
      <c r="N50" s="11">
        <v>2593</v>
      </c>
      <c r="O50" s="11">
        <v>-1567972</v>
      </c>
      <c r="P50" s="11">
        <v>5118360</v>
      </c>
      <c r="Q50" s="11">
        <v>1284820</v>
      </c>
      <c r="R50" s="11">
        <v>45375</v>
      </c>
      <c r="S50" s="11">
        <v>240494</v>
      </c>
      <c r="T50" s="11">
        <v>-302685</v>
      </c>
      <c r="U50" s="11">
        <v>1034357</v>
      </c>
      <c r="V50" s="11">
        <v>6338330.2010000004</v>
      </c>
      <c r="W50" s="11">
        <v>11069221</v>
      </c>
      <c r="X50" s="11">
        <v>6986292</v>
      </c>
      <c r="Y50" s="11">
        <v>1139</v>
      </c>
      <c r="Z50" s="11">
        <v>2715256</v>
      </c>
      <c r="AA50" s="11">
        <v>1817</v>
      </c>
      <c r="AB50" s="11">
        <v>1416165</v>
      </c>
      <c r="AC50" s="11">
        <v>-560703</v>
      </c>
      <c r="AD50" s="11">
        <v>1650690</v>
      </c>
      <c r="AE50" s="11">
        <v>3459</v>
      </c>
      <c r="AF50" s="11"/>
      <c r="AG50" s="11">
        <v>1414685</v>
      </c>
      <c r="AH50" s="39">
        <v>9156590</v>
      </c>
      <c r="AI50" s="11">
        <v>136194</v>
      </c>
      <c r="AJ50" s="11">
        <f t="shared" si="8"/>
        <v>52738740.201000005</v>
      </c>
    </row>
    <row r="51" spans="1:36" x14ac:dyDescent="0.25">
      <c r="A51" s="29" t="s">
        <v>298</v>
      </c>
      <c r="B51" s="11">
        <v>67444</v>
      </c>
      <c r="C51" s="11">
        <v>642712</v>
      </c>
      <c r="D51" s="11"/>
      <c r="E51" s="11">
        <v>2942708</v>
      </c>
      <c r="F51" s="11">
        <v>4035040</v>
      </c>
      <c r="G51" s="11">
        <v>519079</v>
      </c>
      <c r="H51" s="11">
        <v>256211</v>
      </c>
      <c r="I51" s="11">
        <v>724240</v>
      </c>
      <c r="J51" s="11">
        <v>-2206</v>
      </c>
      <c r="K51" s="11">
        <v>157245</v>
      </c>
      <c r="L51" s="11"/>
      <c r="M51" s="11">
        <v>413217</v>
      </c>
      <c r="N51" s="11">
        <v>11478</v>
      </c>
      <c r="O51" s="11">
        <v>1401162</v>
      </c>
      <c r="P51" s="11">
        <v>3345295</v>
      </c>
      <c r="Q51" s="11">
        <v>2234154</v>
      </c>
      <c r="R51" s="11">
        <v>59867</v>
      </c>
      <c r="S51" s="11">
        <v>466609</v>
      </c>
      <c r="T51" s="11">
        <v>91484</v>
      </c>
      <c r="U51" s="11">
        <v>1081315</v>
      </c>
      <c r="V51" s="11">
        <v>8741602.0269999988</v>
      </c>
      <c r="W51" s="11">
        <v>19060492</v>
      </c>
      <c r="X51" s="11">
        <v>9723541</v>
      </c>
      <c r="Y51" s="11">
        <v>2039</v>
      </c>
      <c r="Z51" s="11">
        <v>1820375</v>
      </c>
      <c r="AA51" s="11">
        <v>4894</v>
      </c>
      <c r="AB51" s="11">
        <v>1976213</v>
      </c>
      <c r="AC51" s="11">
        <v>452577</v>
      </c>
      <c r="AD51" s="11">
        <v>825321</v>
      </c>
      <c r="AE51" s="11">
        <v>1012</v>
      </c>
      <c r="AF51" s="11"/>
      <c r="AG51" s="11">
        <v>1131786</v>
      </c>
      <c r="AH51" s="39">
        <v>12650501</v>
      </c>
      <c r="AI51" s="11">
        <v>277161</v>
      </c>
      <c r="AJ51" s="11">
        <f t="shared" si="7"/>
        <v>75114568.026999995</v>
      </c>
    </row>
    <row r="52" spans="1:36" x14ac:dyDescent="0.25">
      <c r="A52" s="19"/>
    </row>
    <row r="53" spans="1:36" x14ac:dyDescent="0.25">
      <c r="A53" s="36" t="s">
        <v>244</v>
      </c>
    </row>
    <row r="54" spans="1:36" x14ac:dyDescent="0.25">
      <c r="A54" s="4" t="s">
        <v>0</v>
      </c>
      <c r="B54" s="77" t="s">
        <v>1</v>
      </c>
      <c r="C54" s="77" t="s">
        <v>2</v>
      </c>
      <c r="D54" s="77" t="s">
        <v>3</v>
      </c>
      <c r="E54" s="77" t="s">
        <v>4</v>
      </c>
      <c r="F54" s="77" t="s">
        <v>5</v>
      </c>
      <c r="G54" s="77" t="s">
        <v>6</v>
      </c>
      <c r="H54" s="77" t="s">
        <v>7</v>
      </c>
      <c r="I54" s="77" t="s">
        <v>8</v>
      </c>
      <c r="J54" s="77" t="s">
        <v>9</v>
      </c>
      <c r="K54" s="77" t="s">
        <v>10</v>
      </c>
      <c r="L54" s="77" t="s">
        <v>11</v>
      </c>
      <c r="M54" s="77" t="s">
        <v>12</v>
      </c>
      <c r="N54" s="77" t="s">
        <v>13</v>
      </c>
      <c r="O54" s="77" t="s">
        <v>14</v>
      </c>
      <c r="P54" s="77" t="s">
        <v>15</v>
      </c>
      <c r="Q54" s="77" t="s">
        <v>16</v>
      </c>
      <c r="R54" s="77" t="s">
        <v>17</v>
      </c>
      <c r="S54" s="77" t="s">
        <v>18</v>
      </c>
      <c r="T54" s="77" t="s">
        <v>19</v>
      </c>
      <c r="U54" s="77" t="s">
        <v>20</v>
      </c>
      <c r="V54" s="77" t="s">
        <v>21</v>
      </c>
      <c r="W54" s="77" t="s">
        <v>22</v>
      </c>
      <c r="X54" s="77" t="s">
        <v>23</v>
      </c>
      <c r="Y54" s="77" t="s">
        <v>24</v>
      </c>
      <c r="Z54" s="77" t="s">
        <v>25</v>
      </c>
      <c r="AA54" s="77" t="s">
        <v>26</v>
      </c>
      <c r="AB54" s="77" t="s">
        <v>27</v>
      </c>
      <c r="AC54" s="77" t="s">
        <v>28</v>
      </c>
      <c r="AD54" s="77" t="s">
        <v>29</v>
      </c>
      <c r="AE54" s="77" t="s">
        <v>30</v>
      </c>
      <c r="AF54" s="77" t="s">
        <v>31</v>
      </c>
      <c r="AG54" s="77" t="s">
        <v>32</v>
      </c>
      <c r="AH54" s="76" t="s">
        <v>33</v>
      </c>
      <c r="AI54" s="77" t="s">
        <v>34</v>
      </c>
      <c r="AJ54" s="77" t="s">
        <v>35</v>
      </c>
    </row>
    <row r="55" spans="1:36" x14ac:dyDescent="0.25">
      <c r="A55" s="29" t="s">
        <v>251</v>
      </c>
      <c r="B55" s="11">
        <v>18747</v>
      </c>
      <c r="C55" s="11">
        <v>18130</v>
      </c>
      <c r="D55" s="11"/>
      <c r="E55" s="11">
        <v>66595</v>
      </c>
      <c r="F55" s="11">
        <v>228478</v>
      </c>
      <c r="G55" s="11">
        <v>28139</v>
      </c>
      <c r="H55" s="11">
        <v>125202</v>
      </c>
      <c r="I55" s="11">
        <v>1833</v>
      </c>
      <c r="J55" s="11">
        <v>6212</v>
      </c>
      <c r="K55" s="11">
        <v>35</v>
      </c>
      <c r="L55" s="11"/>
      <c r="M55" s="11">
        <v>60087</v>
      </c>
      <c r="N55" s="11">
        <v>1600</v>
      </c>
      <c r="O55" s="11">
        <v>423983</v>
      </c>
      <c r="P55" s="11">
        <v>275148</v>
      </c>
      <c r="Q55" s="11">
        <v>195702</v>
      </c>
      <c r="R55" s="11">
        <v>3088</v>
      </c>
      <c r="S55" s="11">
        <v>17225</v>
      </c>
      <c r="T55" s="11">
        <v>3943</v>
      </c>
      <c r="U55" s="11">
        <v>3587</v>
      </c>
      <c r="V55" s="11">
        <v>617451.51500000001</v>
      </c>
      <c r="W55" s="11">
        <v>1316165</v>
      </c>
      <c r="X55" s="11">
        <v>1445176</v>
      </c>
      <c r="Y55" s="11">
        <v>342</v>
      </c>
      <c r="Z55" s="11">
        <v>55874</v>
      </c>
      <c r="AA55" s="11"/>
      <c r="AB55" s="11">
        <v>45451</v>
      </c>
      <c r="AC55" s="11">
        <v>42572</v>
      </c>
      <c r="AD55" s="11">
        <v>439830</v>
      </c>
      <c r="AE55" s="11">
        <v>60842</v>
      </c>
      <c r="AF55" s="11"/>
      <c r="AG55" s="11">
        <v>202842</v>
      </c>
      <c r="AH55" s="39">
        <v>792363</v>
      </c>
      <c r="AI55" s="11">
        <v>61933</v>
      </c>
      <c r="AJ55" s="11">
        <f t="shared" ref="AJ55:AJ61" si="9">SUM(B55:AI55)</f>
        <v>6558575.5150000006</v>
      </c>
    </row>
    <row r="56" spans="1:36" x14ac:dyDescent="0.25">
      <c r="A56" s="29" t="s">
        <v>301</v>
      </c>
      <c r="B56" s="11"/>
      <c r="C56" s="11"/>
      <c r="D56" s="11"/>
      <c r="E56" s="11">
        <v>284</v>
      </c>
      <c r="F56" s="11"/>
      <c r="G56" s="11"/>
      <c r="H56" s="11"/>
      <c r="I56" s="11">
        <v>60847</v>
      </c>
      <c r="J56" s="11"/>
      <c r="K56" s="11">
        <v>5799</v>
      </c>
      <c r="L56" s="11"/>
      <c r="M56" s="11"/>
      <c r="N56" s="11"/>
      <c r="O56" s="11"/>
      <c r="P56" s="11"/>
      <c r="Q56" s="11"/>
      <c r="R56" s="11"/>
      <c r="S56" s="11">
        <v>4227</v>
      </c>
      <c r="T56" s="11"/>
      <c r="U56" s="11"/>
      <c r="V56" s="11">
        <v>0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39">
        <v>5013</v>
      </c>
      <c r="AI56" s="11"/>
      <c r="AJ56" s="11">
        <f t="shared" ref="AJ56:AJ60" si="10">SUM(B56:AI56)</f>
        <v>76170</v>
      </c>
    </row>
    <row r="57" spans="1:36" x14ac:dyDescent="0.25">
      <c r="A57" s="29" t="s">
        <v>302</v>
      </c>
      <c r="B57" s="11">
        <v>937</v>
      </c>
      <c r="C57" s="11">
        <v>1638</v>
      </c>
      <c r="D57" s="11"/>
      <c r="E57" s="11">
        <v>44816</v>
      </c>
      <c r="F57" s="11">
        <v>26148</v>
      </c>
      <c r="G57" s="11">
        <v>1983</v>
      </c>
      <c r="H57" s="11">
        <v>18291</v>
      </c>
      <c r="I57" s="11">
        <v>59940</v>
      </c>
      <c r="J57" s="11"/>
      <c r="K57" s="11">
        <v>-19515</v>
      </c>
      <c r="L57" s="11"/>
      <c r="M57" s="11">
        <v>10832</v>
      </c>
      <c r="N57" s="11">
        <v>80</v>
      </c>
      <c r="O57" s="11"/>
      <c r="P57" s="11"/>
      <c r="Q57" s="11">
        <v>19495</v>
      </c>
      <c r="R57" s="11">
        <v>1797</v>
      </c>
      <c r="S57" s="11">
        <v>1108</v>
      </c>
      <c r="T57" s="11"/>
      <c r="U57" s="11">
        <v>-3929</v>
      </c>
      <c r="V57" s="11">
        <v>30872.576000000001</v>
      </c>
      <c r="W57" s="11"/>
      <c r="X57" s="11">
        <v>-17699</v>
      </c>
      <c r="Y57" s="11">
        <v>260</v>
      </c>
      <c r="Z57" s="11">
        <v>5290</v>
      </c>
      <c r="AA57" s="11"/>
      <c r="AB57" s="11">
        <v>15015</v>
      </c>
      <c r="AC57" s="11"/>
      <c r="AD57" s="11">
        <v>22326</v>
      </c>
      <c r="AE57" s="11">
        <v>57532</v>
      </c>
      <c r="AF57" s="11"/>
      <c r="AG57" s="11">
        <v>11894</v>
      </c>
      <c r="AH57" s="39">
        <v>130056</v>
      </c>
      <c r="AI57" s="11">
        <v>11774</v>
      </c>
      <c r="AJ57" s="11">
        <f t="shared" si="10"/>
        <v>430941.576</v>
      </c>
    </row>
    <row r="58" spans="1:36" x14ac:dyDescent="0.25">
      <c r="A58" s="29" t="s">
        <v>305</v>
      </c>
      <c r="B58" s="11">
        <v>17810</v>
      </c>
      <c r="C58" s="11">
        <v>16492</v>
      </c>
      <c r="D58" s="11"/>
      <c r="E58" s="11"/>
      <c r="F58" s="11"/>
      <c r="G58" s="11">
        <v>26156</v>
      </c>
      <c r="H58" s="11"/>
      <c r="I58" s="11"/>
      <c r="J58" s="11"/>
      <c r="K58" s="11"/>
      <c r="L58" s="11"/>
      <c r="M58" s="11">
        <v>49255</v>
      </c>
      <c r="N58" s="11">
        <v>1520</v>
      </c>
      <c r="O58" s="11"/>
      <c r="P58" s="11"/>
      <c r="Q58" s="11"/>
      <c r="R58" s="11"/>
      <c r="S58" s="11"/>
      <c r="T58" s="11"/>
      <c r="U58" s="11"/>
      <c r="V58" s="11">
        <v>586578.93900000001</v>
      </c>
      <c r="W58" s="11"/>
      <c r="X58" s="11"/>
      <c r="Y58" s="11"/>
      <c r="Z58" s="11"/>
      <c r="AA58" s="11"/>
      <c r="AB58" s="11"/>
      <c r="AC58" s="11"/>
      <c r="AD58" s="11"/>
      <c r="AE58" s="11">
        <v>3310</v>
      </c>
      <c r="AF58" s="11"/>
      <c r="AG58" s="11"/>
      <c r="AH58" s="11"/>
      <c r="AI58" s="11"/>
      <c r="AJ58" s="11">
        <f t="shared" si="10"/>
        <v>701121.93900000001</v>
      </c>
    </row>
    <row r="59" spans="1:36" x14ac:dyDescent="0.25">
      <c r="A59" s="29" t="s">
        <v>304</v>
      </c>
      <c r="B59" s="11">
        <v>15694</v>
      </c>
      <c r="C59" s="11">
        <v>114522</v>
      </c>
      <c r="D59" s="11"/>
      <c r="E59" s="11">
        <v>83300</v>
      </c>
      <c r="F59" s="11">
        <v>882571</v>
      </c>
      <c r="G59" s="11">
        <v>157986</v>
      </c>
      <c r="H59" s="11">
        <v>358603</v>
      </c>
      <c r="I59" s="11"/>
      <c r="J59" s="11">
        <v>20460</v>
      </c>
      <c r="K59" s="11">
        <v>1868</v>
      </c>
      <c r="L59" s="11"/>
      <c r="M59" s="11">
        <v>279432</v>
      </c>
      <c r="N59" s="11">
        <v>1344</v>
      </c>
      <c r="O59" s="11">
        <v>1070772</v>
      </c>
      <c r="P59" s="11">
        <v>3916379</v>
      </c>
      <c r="Q59" s="11">
        <v>566844</v>
      </c>
      <c r="R59" s="11">
        <v>13472</v>
      </c>
      <c r="S59" s="11">
        <v>139991</v>
      </c>
      <c r="T59" s="11">
        <v>57894</v>
      </c>
      <c r="U59" s="11">
        <v>112428</v>
      </c>
      <c r="V59" s="11">
        <v>2126023.4329999997</v>
      </c>
      <c r="W59" s="11">
        <v>3839051</v>
      </c>
      <c r="X59" s="11">
        <v>4831606</v>
      </c>
      <c r="Y59" s="11">
        <v>1593</v>
      </c>
      <c r="Z59" s="11">
        <v>359185</v>
      </c>
      <c r="AA59" s="11"/>
      <c r="AB59" s="11">
        <v>254165</v>
      </c>
      <c r="AC59" s="11">
        <v>278359</v>
      </c>
      <c r="AD59" s="11">
        <v>4138445</v>
      </c>
      <c r="AE59" s="11">
        <v>55321</v>
      </c>
      <c r="AF59" s="11"/>
      <c r="AG59" s="11">
        <v>754570</v>
      </c>
      <c r="AH59" s="39">
        <v>2120139</v>
      </c>
      <c r="AI59" s="11">
        <v>266034</v>
      </c>
      <c r="AJ59" s="11">
        <f t="shared" si="10"/>
        <v>26818051.432999998</v>
      </c>
    </row>
    <row r="60" spans="1:36" x14ac:dyDescent="0.25">
      <c r="A60" s="29" t="s">
        <v>303</v>
      </c>
      <c r="B60" s="11">
        <v>9267</v>
      </c>
      <c r="C60" s="11">
        <v>97989</v>
      </c>
      <c r="D60" s="11"/>
      <c r="E60" s="11">
        <v>114387</v>
      </c>
      <c r="F60" s="11">
        <v>773377</v>
      </c>
      <c r="G60" s="11">
        <v>139306</v>
      </c>
      <c r="H60" s="11">
        <v>312509</v>
      </c>
      <c r="I60" s="11">
        <v>100</v>
      </c>
      <c r="J60" s="11">
        <v>-28171</v>
      </c>
      <c r="K60" s="11">
        <v>20342</v>
      </c>
      <c r="L60" s="11"/>
      <c r="M60" s="11">
        <v>313622</v>
      </c>
      <c r="N60" s="11">
        <v>28</v>
      </c>
      <c r="O60" s="11">
        <v>-856769</v>
      </c>
      <c r="P60" s="11">
        <v>3979743</v>
      </c>
      <c r="Q60" s="11">
        <v>599720</v>
      </c>
      <c r="R60" s="11">
        <v>9777</v>
      </c>
      <c r="S60" s="11">
        <v>138951</v>
      </c>
      <c r="T60" s="11">
        <v>-60780</v>
      </c>
      <c r="U60" s="11">
        <v>98300</v>
      </c>
      <c r="V60" s="11">
        <v>2409136.4869999997</v>
      </c>
      <c r="W60" s="11">
        <v>4147350</v>
      </c>
      <c r="X60" s="11">
        <v>4413669</v>
      </c>
      <c r="Y60" s="11">
        <v>686</v>
      </c>
      <c r="Z60" s="11">
        <v>345153</v>
      </c>
      <c r="AA60" s="11"/>
      <c r="AB60" s="11">
        <v>231422</v>
      </c>
      <c r="AC60" s="11">
        <v>-267664</v>
      </c>
      <c r="AD60" s="11">
        <v>3724563</v>
      </c>
      <c r="AE60" s="11">
        <v>40341</v>
      </c>
      <c r="AF60" s="11"/>
      <c r="AG60" s="11">
        <v>717391</v>
      </c>
      <c r="AH60" s="39">
        <v>1875578</v>
      </c>
      <c r="AI60" s="11">
        <v>205908</v>
      </c>
      <c r="AJ60" s="11">
        <f t="shared" si="10"/>
        <v>23505231.487</v>
      </c>
    </row>
    <row r="61" spans="1:36" x14ac:dyDescent="0.25">
      <c r="A61" s="29" t="s">
        <v>298</v>
      </c>
      <c r="B61" s="11">
        <v>24237</v>
      </c>
      <c r="C61" s="11">
        <v>33025</v>
      </c>
      <c r="D61" s="11"/>
      <c r="E61" s="11">
        <v>-9024</v>
      </c>
      <c r="F61" s="11">
        <v>311524</v>
      </c>
      <c r="G61" s="11">
        <v>44836</v>
      </c>
      <c r="H61" s="11">
        <v>153005</v>
      </c>
      <c r="I61" s="11">
        <v>2640</v>
      </c>
      <c r="J61" s="11">
        <v>-675</v>
      </c>
      <c r="K61" s="11">
        <v>6875</v>
      </c>
      <c r="L61" s="11"/>
      <c r="M61" s="11">
        <v>15066</v>
      </c>
      <c r="N61" s="11">
        <v>2835</v>
      </c>
      <c r="O61" s="11">
        <v>449601</v>
      </c>
      <c r="P61" s="11">
        <v>304131</v>
      </c>
      <c r="Q61" s="11">
        <v>143331</v>
      </c>
      <c r="R61" s="11">
        <v>4986</v>
      </c>
      <c r="S61" s="11">
        <v>18042</v>
      </c>
      <c r="T61" s="11">
        <v>10580</v>
      </c>
      <c r="U61" s="11">
        <v>21643</v>
      </c>
      <c r="V61" s="11">
        <v>303465.88499999978</v>
      </c>
      <c r="W61" s="11">
        <v>1007180</v>
      </c>
      <c r="X61" s="11">
        <v>1880812</v>
      </c>
      <c r="Y61" s="11">
        <v>988</v>
      </c>
      <c r="Z61" s="11">
        <v>64616</v>
      </c>
      <c r="AA61" s="11"/>
      <c r="AB61" s="11">
        <v>53179</v>
      </c>
      <c r="AC61" s="11">
        <v>47519</v>
      </c>
      <c r="AD61" s="11">
        <v>831386</v>
      </c>
      <c r="AE61" s="11">
        <v>18290</v>
      </c>
      <c r="AF61" s="11"/>
      <c r="AG61" s="11">
        <v>228127</v>
      </c>
      <c r="AH61" s="39">
        <v>911881</v>
      </c>
      <c r="AI61" s="11">
        <v>110285</v>
      </c>
      <c r="AJ61" s="11">
        <f t="shared" si="9"/>
        <v>6994386.8849999998</v>
      </c>
    </row>
    <row r="62" spans="1:36" x14ac:dyDescent="0.25">
      <c r="A62" s="19"/>
    </row>
    <row r="63" spans="1:36" x14ac:dyDescent="0.25">
      <c r="A63" s="36" t="s">
        <v>245</v>
      </c>
    </row>
    <row r="64" spans="1:36" x14ac:dyDescent="0.25">
      <c r="A64" s="4" t="s">
        <v>0</v>
      </c>
      <c r="B64" s="77" t="s">
        <v>1</v>
      </c>
      <c r="C64" s="77" t="s">
        <v>2</v>
      </c>
      <c r="D64" s="77" t="s">
        <v>3</v>
      </c>
      <c r="E64" s="77" t="s">
        <v>4</v>
      </c>
      <c r="F64" s="77" t="s">
        <v>5</v>
      </c>
      <c r="G64" s="77" t="s">
        <v>6</v>
      </c>
      <c r="H64" s="77" t="s">
        <v>7</v>
      </c>
      <c r="I64" s="77" t="s">
        <v>8</v>
      </c>
      <c r="J64" s="77" t="s">
        <v>9</v>
      </c>
      <c r="K64" s="77" t="s">
        <v>10</v>
      </c>
      <c r="L64" s="77" t="s">
        <v>11</v>
      </c>
      <c r="M64" s="77" t="s">
        <v>12</v>
      </c>
      <c r="N64" s="77" t="s">
        <v>13</v>
      </c>
      <c r="O64" s="77" t="s">
        <v>14</v>
      </c>
      <c r="P64" s="77" t="s">
        <v>15</v>
      </c>
      <c r="Q64" s="77" t="s">
        <v>16</v>
      </c>
      <c r="R64" s="77" t="s">
        <v>17</v>
      </c>
      <c r="S64" s="77" t="s">
        <v>18</v>
      </c>
      <c r="T64" s="77" t="s">
        <v>19</v>
      </c>
      <c r="U64" s="77" t="s">
        <v>20</v>
      </c>
      <c r="V64" s="77" t="s">
        <v>21</v>
      </c>
      <c r="W64" s="77" t="s">
        <v>22</v>
      </c>
      <c r="X64" s="77" t="s">
        <v>23</v>
      </c>
      <c r="Y64" s="77" t="s">
        <v>24</v>
      </c>
      <c r="Z64" s="77" t="s">
        <v>25</v>
      </c>
      <c r="AA64" s="77" t="s">
        <v>26</v>
      </c>
      <c r="AB64" s="77" t="s">
        <v>27</v>
      </c>
      <c r="AC64" s="77" t="s">
        <v>28</v>
      </c>
      <c r="AD64" s="77" t="s">
        <v>29</v>
      </c>
      <c r="AE64" s="77" t="s">
        <v>30</v>
      </c>
      <c r="AF64" s="77" t="s">
        <v>31</v>
      </c>
      <c r="AG64" s="77" t="s">
        <v>32</v>
      </c>
      <c r="AH64" s="76" t="s">
        <v>33</v>
      </c>
      <c r="AI64" s="77" t="s">
        <v>34</v>
      </c>
      <c r="AJ64" s="77" t="s">
        <v>35</v>
      </c>
    </row>
    <row r="65" spans="1:36" x14ac:dyDescent="0.25">
      <c r="A65" s="29" t="s">
        <v>251</v>
      </c>
      <c r="B65" s="11">
        <v>33669</v>
      </c>
      <c r="C65" s="11"/>
      <c r="D65" s="11"/>
      <c r="E65" s="11"/>
      <c r="F65" s="11">
        <v>15302</v>
      </c>
      <c r="G65" s="11">
        <v>4146</v>
      </c>
      <c r="H65" s="11">
        <v>10230</v>
      </c>
      <c r="I65" s="11"/>
      <c r="J65" s="11"/>
      <c r="K65" s="11"/>
      <c r="L65" s="11"/>
      <c r="M65" s="11">
        <v>4490</v>
      </c>
      <c r="N65" s="11"/>
      <c r="O65" s="11">
        <v>38133</v>
      </c>
      <c r="P65" s="11">
        <v>43649</v>
      </c>
      <c r="Q65" s="11">
        <v>14164</v>
      </c>
      <c r="R65" s="11"/>
      <c r="S65" s="11"/>
      <c r="T65" s="11"/>
      <c r="U65" s="11"/>
      <c r="V65" s="11">
        <v>8092.9260000000004</v>
      </c>
      <c r="W65" s="11">
        <v>442708</v>
      </c>
      <c r="X65" s="11">
        <v>17034</v>
      </c>
      <c r="Y65" s="11">
        <v>1765</v>
      </c>
      <c r="Z65" s="11">
        <v>1001</v>
      </c>
      <c r="AA65" s="11"/>
      <c r="AB65" s="11"/>
      <c r="AC65" s="11">
        <v>1902</v>
      </c>
      <c r="AD65" s="11">
        <v>5250</v>
      </c>
      <c r="AE65" s="11"/>
      <c r="AF65" s="11"/>
      <c r="AG65" s="11">
        <v>99468</v>
      </c>
      <c r="AH65" s="39">
        <v>57792</v>
      </c>
      <c r="AI65" s="11"/>
      <c r="AJ65" s="11">
        <f t="shared" ref="AJ65:AJ71" si="11">SUM(B65:AI65)</f>
        <v>798795.92599999998</v>
      </c>
    </row>
    <row r="66" spans="1:36" x14ac:dyDescent="0.25">
      <c r="A66" s="29" t="s">
        <v>301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>
        <v>0</v>
      </c>
      <c r="W66" s="11"/>
      <c r="X66" s="11">
        <v>548</v>
      </c>
      <c r="Y66" s="11"/>
      <c r="Z66" s="11"/>
      <c r="AA66" s="11"/>
      <c r="AB66" s="11"/>
      <c r="AC66" s="11"/>
      <c r="AD66" s="11"/>
      <c r="AE66" s="11"/>
      <c r="AF66" s="11"/>
      <c r="AG66" s="11">
        <v>325</v>
      </c>
      <c r="AH66" s="11">
        <v>3</v>
      </c>
      <c r="AI66" s="11"/>
      <c r="AJ66" s="11">
        <f t="shared" ref="AJ66:AJ70" si="12">SUM(B66:AI66)</f>
        <v>876</v>
      </c>
    </row>
    <row r="67" spans="1:36" x14ac:dyDescent="0.25">
      <c r="A67" s="29" t="s">
        <v>302</v>
      </c>
      <c r="B67" s="11">
        <v>21885</v>
      </c>
      <c r="C67" s="11"/>
      <c r="D67" s="11"/>
      <c r="E67" s="11"/>
      <c r="F67" s="11">
        <v>15040</v>
      </c>
      <c r="G67" s="11">
        <v>2931</v>
      </c>
      <c r="H67" s="11">
        <v>8606</v>
      </c>
      <c r="I67" s="11"/>
      <c r="J67" s="11"/>
      <c r="K67" s="11">
        <v>-992</v>
      </c>
      <c r="L67" s="11"/>
      <c r="M67" s="11">
        <v>-61</v>
      </c>
      <c r="N67" s="11"/>
      <c r="O67" s="11"/>
      <c r="P67" s="11"/>
      <c r="Q67" s="11">
        <v>5912</v>
      </c>
      <c r="R67" s="11"/>
      <c r="S67" s="11"/>
      <c r="T67" s="11"/>
      <c r="U67" s="11"/>
      <c r="V67" s="11">
        <v>404.64600000000002</v>
      </c>
      <c r="W67" s="11"/>
      <c r="X67" s="11">
        <v>9647</v>
      </c>
      <c r="Y67" s="11">
        <v>88</v>
      </c>
      <c r="Z67" s="11">
        <v>53</v>
      </c>
      <c r="AA67" s="11"/>
      <c r="AB67" s="11"/>
      <c r="AC67" s="11"/>
      <c r="AD67" s="11">
        <v>4577</v>
      </c>
      <c r="AE67" s="11"/>
      <c r="AF67" s="11"/>
      <c r="AG67" s="11">
        <v>10841</v>
      </c>
      <c r="AH67" s="39">
        <v>4810</v>
      </c>
      <c r="AI67" s="11"/>
      <c r="AJ67" s="11">
        <f t="shared" si="12"/>
        <v>83741.646000000008</v>
      </c>
    </row>
    <row r="68" spans="1:36" x14ac:dyDescent="0.25">
      <c r="A68" s="29" t="s">
        <v>305</v>
      </c>
      <c r="B68" s="11">
        <v>11784</v>
      </c>
      <c r="C68" s="11"/>
      <c r="D68" s="11"/>
      <c r="E68" s="11"/>
      <c r="F68" s="11"/>
      <c r="G68" s="11">
        <v>1215</v>
      </c>
      <c r="H68" s="11"/>
      <c r="I68" s="11"/>
      <c r="J68" s="11"/>
      <c r="K68" s="11"/>
      <c r="L68" s="11"/>
      <c r="M68" s="11">
        <v>4552</v>
      </c>
      <c r="N68" s="11"/>
      <c r="O68" s="11"/>
      <c r="P68" s="11"/>
      <c r="Q68" s="11"/>
      <c r="R68" s="11"/>
      <c r="S68" s="11"/>
      <c r="T68" s="11"/>
      <c r="U68" s="11"/>
      <c r="V68" s="11">
        <v>7688.2800000000007</v>
      </c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>
        <f t="shared" si="12"/>
        <v>25239.279999999999</v>
      </c>
    </row>
    <row r="69" spans="1:36" x14ac:dyDescent="0.25">
      <c r="A69" s="29" t="s">
        <v>304</v>
      </c>
      <c r="B69" s="11">
        <v>30043</v>
      </c>
      <c r="C69" s="11"/>
      <c r="D69" s="11"/>
      <c r="E69" s="11"/>
      <c r="F69" s="11">
        <v>84855</v>
      </c>
      <c r="G69" s="11">
        <v>157135</v>
      </c>
      <c r="H69" s="11">
        <v>14694</v>
      </c>
      <c r="I69" s="11"/>
      <c r="J69" s="11"/>
      <c r="K69" s="11"/>
      <c r="L69" s="11"/>
      <c r="M69" s="11">
        <v>17132</v>
      </c>
      <c r="N69" s="11"/>
      <c r="O69" s="11">
        <v>9727</v>
      </c>
      <c r="P69" s="11">
        <v>458345</v>
      </c>
      <c r="Q69" s="11">
        <v>186858</v>
      </c>
      <c r="R69" s="11"/>
      <c r="S69" s="11">
        <v>37658</v>
      </c>
      <c r="T69" s="11">
        <v>2077</v>
      </c>
      <c r="U69" s="11"/>
      <c r="V69" s="11">
        <v>326569.85399999999</v>
      </c>
      <c r="W69" s="11">
        <v>5304310</v>
      </c>
      <c r="X69" s="11">
        <v>1363832</v>
      </c>
      <c r="Y69" s="11">
        <v>47720</v>
      </c>
      <c r="Z69" s="11">
        <v>164647</v>
      </c>
      <c r="AA69" s="11"/>
      <c r="AB69" s="11"/>
      <c r="AC69" s="11">
        <v>31142</v>
      </c>
      <c r="AD69" s="11">
        <v>37811</v>
      </c>
      <c r="AE69" s="11">
        <v>6391</v>
      </c>
      <c r="AF69" s="11"/>
      <c r="AG69" s="11">
        <v>2121958</v>
      </c>
      <c r="AH69" s="39">
        <v>1420660</v>
      </c>
      <c r="AI69" s="11">
        <v>2518</v>
      </c>
      <c r="AJ69" s="11">
        <f t="shared" si="12"/>
        <v>11826082.854</v>
      </c>
    </row>
    <row r="70" spans="1:36" x14ac:dyDescent="0.25">
      <c r="A70" s="29" t="s">
        <v>303</v>
      </c>
      <c r="B70" s="11">
        <v>13255</v>
      </c>
      <c r="C70" s="11"/>
      <c r="D70" s="11"/>
      <c r="E70" s="11"/>
      <c r="F70" s="11">
        <v>82533</v>
      </c>
      <c r="G70" s="11">
        <v>153032</v>
      </c>
      <c r="H70" s="11">
        <v>18578</v>
      </c>
      <c r="I70" s="11"/>
      <c r="J70" s="11"/>
      <c r="K70" s="11">
        <v>992</v>
      </c>
      <c r="L70" s="11"/>
      <c r="M70" s="11">
        <v>16978</v>
      </c>
      <c r="N70" s="11"/>
      <c r="O70" s="11">
        <v>-8638</v>
      </c>
      <c r="P70" s="11">
        <v>430961</v>
      </c>
      <c r="Q70" s="11">
        <v>154799</v>
      </c>
      <c r="R70" s="11"/>
      <c r="S70" s="11">
        <v>36102</v>
      </c>
      <c r="T70" s="11">
        <v>-2021</v>
      </c>
      <c r="U70" s="11"/>
      <c r="V70" s="11">
        <v>325793.429</v>
      </c>
      <c r="W70" s="11">
        <v>5083594</v>
      </c>
      <c r="X70" s="11">
        <v>1347162</v>
      </c>
      <c r="Y70" s="11">
        <v>48065</v>
      </c>
      <c r="Z70" s="11">
        <v>155010</v>
      </c>
      <c r="AA70" s="11"/>
      <c r="AB70" s="11"/>
      <c r="AC70" s="11">
        <v>-31333</v>
      </c>
      <c r="AD70" s="11">
        <v>34635</v>
      </c>
      <c r="AE70" s="11">
        <v>6419</v>
      </c>
      <c r="AF70" s="11"/>
      <c r="AG70" s="11">
        <v>2018781</v>
      </c>
      <c r="AH70" s="39">
        <v>1457832</v>
      </c>
      <c r="AI70" s="11">
        <v>2428</v>
      </c>
      <c r="AJ70" s="11">
        <f t="shared" si="12"/>
        <v>11344957.429</v>
      </c>
    </row>
    <row r="71" spans="1:36" x14ac:dyDescent="0.25">
      <c r="A71" s="29" t="s">
        <v>298</v>
      </c>
      <c r="B71" s="11">
        <v>28572</v>
      </c>
      <c r="C71" s="11"/>
      <c r="D71" s="11"/>
      <c r="E71" s="11"/>
      <c r="F71" s="11">
        <v>2584</v>
      </c>
      <c r="G71" s="11">
        <v>5318</v>
      </c>
      <c r="H71" s="11">
        <v>-2260</v>
      </c>
      <c r="I71" s="11"/>
      <c r="J71" s="11"/>
      <c r="K71" s="11"/>
      <c r="L71" s="11"/>
      <c r="M71" s="11">
        <v>4706</v>
      </c>
      <c r="N71" s="11"/>
      <c r="O71" s="11">
        <v>20717</v>
      </c>
      <c r="P71" s="11">
        <v>55909</v>
      </c>
      <c r="Q71" s="11">
        <v>40311</v>
      </c>
      <c r="R71" s="11"/>
      <c r="S71" s="11">
        <v>1544</v>
      </c>
      <c r="T71" s="11">
        <v>28</v>
      </c>
      <c r="U71" s="11"/>
      <c r="V71" s="11">
        <v>8464.7050000000163</v>
      </c>
      <c r="W71" s="11">
        <v>699599</v>
      </c>
      <c r="X71" s="11">
        <v>24605</v>
      </c>
      <c r="Y71" s="11">
        <v>1331</v>
      </c>
      <c r="Z71" s="11">
        <v>10585</v>
      </c>
      <c r="AA71" s="11"/>
      <c r="AB71" s="11"/>
      <c r="AC71" s="11">
        <v>2065</v>
      </c>
      <c r="AD71" s="11">
        <v>3849</v>
      </c>
      <c r="AE71" s="11">
        <v>-28</v>
      </c>
      <c r="AF71" s="11"/>
      <c r="AG71" s="11">
        <v>192129</v>
      </c>
      <c r="AH71" s="39">
        <v>15813</v>
      </c>
      <c r="AI71" s="11">
        <v>90</v>
      </c>
      <c r="AJ71" s="11">
        <f t="shared" si="11"/>
        <v>1115931.7050000001</v>
      </c>
    </row>
    <row r="72" spans="1:36" x14ac:dyDescent="0.25">
      <c r="A72" s="37"/>
    </row>
    <row r="73" spans="1:36" x14ac:dyDescent="0.25">
      <c r="A73" s="38" t="s">
        <v>246</v>
      </c>
    </row>
    <row r="74" spans="1:36" x14ac:dyDescent="0.25">
      <c r="A74" s="4" t="s">
        <v>0</v>
      </c>
      <c r="B74" s="77" t="s">
        <v>1</v>
      </c>
      <c r="C74" s="77" t="s">
        <v>2</v>
      </c>
      <c r="D74" s="77" t="s">
        <v>3</v>
      </c>
      <c r="E74" s="77" t="s">
        <v>4</v>
      </c>
      <c r="F74" s="77" t="s">
        <v>5</v>
      </c>
      <c r="G74" s="77" t="s">
        <v>6</v>
      </c>
      <c r="H74" s="77" t="s">
        <v>7</v>
      </c>
      <c r="I74" s="77" t="s">
        <v>8</v>
      </c>
      <c r="J74" s="77" t="s">
        <v>9</v>
      </c>
      <c r="K74" s="77" t="s">
        <v>10</v>
      </c>
      <c r="L74" s="77" t="s">
        <v>11</v>
      </c>
      <c r="M74" s="77" t="s">
        <v>12</v>
      </c>
      <c r="N74" s="77" t="s">
        <v>13</v>
      </c>
      <c r="O74" s="77" t="s">
        <v>14</v>
      </c>
      <c r="P74" s="77" t="s">
        <v>15</v>
      </c>
      <c r="Q74" s="77" t="s">
        <v>16</v>
      </c>
      <c r="R74" s="77" t="s">
        <v>17</v>
      </c>
      <c r="S74" s="77" t="s">
        <v>18</v>
      </c>
      <c r="T74" s="77" t="s">
        <v>19</v>
      </c>
      <c r="U74" s="77" t="s">
        <v>20</v>
      </c>
      <c r="V74" s="77" t="s">
        <v>21</v>
      </c>
      <c r="W74" s="77" t="s">
        <v>22</v>
      </c>
      <c r="X74" s="77" t="s">
        <v>23</v>
      </c>
      <c r="Y74" s="77" t="s">
        <v>24</v>
      </c>
      <c r="Z74" s="77" t="s">
        <v>25</v>
      </c>
      <c r="AA74" s="77" t="s">
        <v>26</v>
      </c>
      <c r="AB74" s="77" t="s">
        <v>27</v>
      </c>
      <c r="AC74" s="77" t="s">
        <v>28</v>
      </c>
      <c r="AD74" s="77" t="s">
        <v>29</v>
      </c>
      <c r="AE74" s="77" t="s">
        <v>30</v>
      </c>
      <c r="AF74" s="77" t="s">
        <v>31</v>
      </c>
      <c r="AG74" s="77" t="s">
        <v>32</v>
      </c>
      <c r="AH74" s="76" t="s">
        <v>33</v>
      </c>
      <c r="AI74" s="77" t="s">
        <v>34</v>
      </c>
      <c r="AJ74" s="77" t="s">
        <v>35</v>
      </c>
    </row>
    <row r="75" spans="1:36" x14ac:dyDescent="0.25">
      <c r="A75" s="29" t="s">
        <v>251</v>
      </c>
      <c r="B75" s="11"/>
      <c r="C75" s="11"/>
      <c r="D75" s="11"/>
      <c r="E75" s="11"/>
      <c r="F75" s="11">
        <v>16769</v>
      </c>
      <c r="G75" s="11"/>
      <c r="H75" s="11"/>
      <c r="I75" s="11"/>
      <c r="J75" s="11"/>
      <c r="K75" s="11"/>
      <c r="L75" s="11"/>
      <c r="M75" s="11"/>
      <c r="N75" s="11"/>
      <c r="O75" s="11">
        <v>56249</v>
      </c>
      <c r="P75" s="11">
        <v>37916</v>
      </c>
      <c r="Q75" s="11"/>
      <c r="R75" s="11"/>
      <c r="S75" s="11"/>
      <c r="T75" s="11"/>
      <c r="U75" s="11"/>
      <c r="V75" s="11">
        <v>87466.495999999999</v>
      </c>
      <c r="W75" s="11">
        <v>175150</v>
      </c>
      <c r="X75" s="11">
        <v>30196</v>
      </c>
      <c r="Y75" s="11"/>
      <c r="Z75" s="11"/>
      <c r="AA75" s="11"/>
      <c r="AB75" s="11"/>
      <c r="AC75" s="11"/>
      <c r="AD75" s="11"/>
      <c r="AE75" s="11"/>
      <c r="AF75" s="11"/>
      <c r="AG75" s="11"/>
      <c r="AH75" s="39">
        <v>3507</v>
      </c>
      <c r="AI75" s="11"/>
      <c r="AJ75" s="11">
        <f t="shared" ref="AJ75:AJ81" si="13">SUM(B75:AI75)</f>
        <v>407253.49599999998</v>
      </c>
    </row>
    <row r="76" spans="1:36" x14ac:dyDescent="0.25">
      <c r="A76" s="29" t="s">
        <v>301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>
        <v>35895.856</v>
      </c>
      <c r="W76" s="11"/>
      <c r="X76" s="11">
        <v>480351</v>
      </c>
      <c r="Y76" s="11"/>
      <c r="Z76" s="11"/>
      <c r="AA76" s="11"/>
      <c r="AB76" s="11"/>
      <c r="AC76" s="11"/>
      <c r="AD76" s="11"/>
      <c r="AE76" s="11"/>
      <c r="AF76" s="11"/>
      <c r="AG76" s="11"/>
      <c r="AH76" s="39">
        <v>285914</v>
      </c>
      <c r="AI76" s="11"/>
      <c r="AJ76" s="11">
        <f t="shared" ref="AJ76:AJ80" si="14">SUM(B76:AI76)</f>
        <v>802160.85600000003</v>
      </c>
    </row>
    <row r="77" spans="1:36" x14ac:dyDescent="0.25">
      <c r="A77" s="29" t="s">
        <v>302</v>
      </c>
      <c r="B77" s="11"/>
      <c r="C77" s="11"/>
      <c r="D77" s="11"/>
      <c r="E77" s="11"/>
      <c r="F77" s="11">
        <v>8685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>
        <v>78088.782999999996</v>
      </c>
      <c r="W77" s="11"/>
      <c r="X77" s="11">
        <v>402724</v>
      </c>
      <c r="Y77" s="11"/>
      <c r="Z77" s="11"/>
      <c r="AA77" s="11"/>
      <c r="AB77" s="11"/>
      <c r="AC77" s="11"/>
      <c r="AD77" s="11"/>
      <c r="AE77" s="11"/>
      <c r="AF77" s="11"/>
      <c r="AG77" s="11"/>
      <c r="AH77" s="39">
        <v>28539</v>
      </c>
      <c r="AI77" s="11"/>
      <c r="AJ77" s="11">
        <f t="shared" si="14"/>
        <v>518036.783</v>
      </c>
    </row>
    <row r="78" spans="1:36" x14ac:dyDescent="0.25">
      <c r="A78" s="29" t="s">
        <v>305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>
        <v>45273.569000000003</v>
      </c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>
        <f t="shared" si="14"/>
        <v>45273.569000000003</v>
      </c>
    </row>
    <row r="79" spans="1:36" x14ac:dyDescent="0.25">
      <c r="A79" s="29" t="s">
        <v>304</v>
      </c>
      <c r="B79" s="11"/>
      <c r="C79" s="11"/>
      <c r="D79" s="11"/>
      <c r="E79" s="11"/>
      <c r="F79" s="11">
        <v>37929</v>
      </c>
      <c r="G79" s="11"/>
      <c r="H79" s="11"/>
      <c r="I79" s="11"/>
      <c r="J79" s="11"/>
      <c r="K79" s="11"/>
      <c r="L79" s="11"/>
      <c r="M79" s="11"/>
      <c r="N79" s="11"/>
      <c r="O79" s="11">
        <v>594754</v>
      </c>
      <c r="P79" s="11">
        <v>1379440</v>
      </c>
      <c r="Q79" s="11">
        <v>1861</v>
      </c>
      <c r="R79" s="11"/>
      <c r="S79" s="11"/>
      <c r="T79" s="11"/>
      <c r="U79" s="11"/>
      <c r="V79" s="11">
        <v>588124.53199999966</v>
      </c>
      <c r="W79" s="11">
        <v>2264918</v>
      </c>
      <c r="X79" s="11">
        <v>1245719</v>
      </c>
      <c r="Y79" s="11"/>
      <c r="Z79" s="11">
        <v>4538</v>
      </c>
      <c r="AA79" s="11"/>
      <c r="AB79" s="11"/>
      <c r="AC79" s="11"/>
      <c r="AD79" s="11">
        <v>154</v>
      </c>
      <c r="AE79" s="11"/>
      <c r="AF79" s="11"/>
      <c r="AG79" s="11">
        <v>2098</v>
      </c>
      <c r="AH79" s="39">
        <v>263007</v>
      </c>
      <c r="AI79" s="11"/>
      <c r="AJ79" s="11">
        <f t="shared" si="14"/>
        <v>6382542.5319999997</v>
      </c>
    </row>
    <row r="80" spans="1:36" x14ac:dyDescent="0.25">
      <c r="A80" s="29" t="s">
        <v>303</v>
      </c>
      <c r="B80" s="11"/>
      <c r="C80" s="11"/>
      <c r="D80" s="11"/>
      <c r="E80" s="11"/>
      <c r="F80" s="11">
        <v>29543</v>
      </c>
      <c r="G80" s="11"/>
      <c r="H80" s="11"/>
      <c r="I80" s="11"/>
      <c r="J80" s="11"/>
      <c r="K80" s="11"/>
      <c r="L80" s="11"/>
      <c r="M80" s="11"/>
      <c r="N80" s="11"/>
      <c r="O80" s="11">
        <v>-733900</v>
      </c>
      <c r="P80" s="11">
        <v>1370114</v>
      </c>
      <c r="Q80" s="11">
        <v>1958</v>
      </c>
      <c r="R80" s="11"/>
      <c r="S80" s="11"/>
      <c r="T80" s="11"/>
      <c r="U80" s="11"/>
      <c r="V80" s="11">
        <v>535116.88400000008</v>
      </c>
      <c r="W80" s="11">
        <v>2387400</v>
      </c>
      <c r="X80" s="11">
        <v>1263245</v>
      </c>
      <c r="Y80" s="11"/>
      <c r="Z80" s="11">
        <v>4326</v>
      </c>
      <c r="AA80" s="11"/>
      <c r="AB80" s="11"/>
      <c r="AC80" s="11"/>
      <c r="AD80" s="11">
        <v>154</v>
      </c>
      <c r="AE80" s="11"/>
      <c r="AF80" s="11"/>
      <c r="AG80" s="11">
        <v>2918</v>
      </c>
      <c r="AH80" s="39">
        <v>255886</v>
      </c>
      <c r="AI80" s="11"/>
      <c r="AJ80" s="11">
        <f t="shared" si="14"/>
        <v>5116760.8839999996</v>
      </c>
    </row>
    <row r="81" spans="1:36" x14ac:dyDescent="0.25">
      <c r="A81" s="29" t="s">
        <v>298</v>
      </c>
      <c r="B81" s="11"/>
      <c r="C81" s="11"/>
      <c r="D81" s="11"/>
      <c r="E81" s="11"/>
      <c r="F81" s="11">
        <v>16470</v>
      </c>
      <c r="G81" s="11"/>
      <c r="H81" s="11"/>
      <c r="I81" s="11"/>
      <c r="J81" s="11"/>
      <c r="K81" s="11"/>
      <c r="L81" s="11"/>
      <c r="M81" s="11"/>
      <c r="N81" s="11"/>
      <c r="O81" s="11">
        <v>-53013</v>
      </c>
      <c r="P81" s="11">
        <v>1832</v>
      </c>
      <c r="Q81" s="11">
        <v>-97</v>
      </c>
      <c r="R81" s="11"/>
      <c r="S81" s="11"/>
      <c r="T81" s="11"/>
      <c r="U81" s="11"/>
      <c r="V81" s="11">
        <v>98281.216999999597</v>
      </c>
      <c r="W81" s="11">
        <v>422277</v>
      </c>
      <c r="X81" s="11">
        <v>90297</v>
      </c>
      <c r="Y81" s="11"/>
      <c r="Z81" s="11">
        <v>212</v>
      </c>
      <c r="AA81" s="11"/>
      <c r="AB81" s="11"/>
      <c r="AC81" s="11"/>
      <c r="AD81" s="11"/>
      <c r="AE81" s="11"/>
      <c r="AF81" s="11"/>
      <c r="AG81" s="11">
        <v>-820</v>
      </c>
      <c r="AH81" s="39">
        <v>268003</v>
      </c>
      <c r="AI81" s="11"/>
      <c r="AJ81" s="11">
        <f t="shared" si="13"/>
        <v>843442.2169999996</v>
      </c>
    </row>
    <row r="82" spans="1:36" x14ac:dyDescent="0.25">
      <c r="A82" s="19"/>
    </row>
    <row r="83" spans="1:36" x14ac:dyDescent="0.25">
      <c r="A83" s="36" t="s">
        <v>247</v>
      </c>
    </row>
    <row r="84" spans="1:36" x14ac:dyDescent="0.25">
      <c r="A84" s="4" t="s">
        <v>0</v>
      </c>
      <c r="B84" s="77" t="s">
        <v>1</v>
      </c>
      <c r="C84" s="77" t="s">
        <v>2</v>
      </c>
      <c r="D84" s="77" t="s">
        <v>3</v>
      </c>
      <c r="E84" s="77" t="s">
        <v>4</v>
      </c>
      <c r="F84" s="77" t="s">
        <v>5</v>
      </c>
      <c r="G84" s="77" t="s">
        <v>6</v>
      </c>
      <c r="H84" s="77" t="s">
        <v>7</v>
      </c>
      <c r="I84" s="77" t="s">
        <v>8</v>
      </c>
      <c r="J84" s="77" t="s">
        <v>9</v>
      </c>
      <c r="K84" s="77" t="s">
        <v>10</v>
      </c>
      <c r="L84" s="77" t="s">
        <v>11</v>
      </c>
      <c r="M84" s="77" t="s">
        <v>12</v>
      </c>
      <c r="N84" s="77" t="s">
        <v>13</v>
      </c>
      <c r="O84" s="77" t="s">
        <v>14</v>
      </c>
      <c r="P84" s="77" t="s">
        <v>15</v>
      </c>
      <c r="Q84" s="77" t="s">
        <v>16</v>
      </c>
      <c r="R84" s="77" t="s">
        <v>17</v>
      </c>
      <c r="S84" s="77" t="s">
        <v>18</v>
      </c>
      <c r="T84" s="77" t="s">
        <v>19</v>
      </c>
      <c r="U84" s="77" t="s">
        <v>20</v>
      </c>
      <c r="V84" s="77" t="s">
        <v>21</v>
      </c>
      <c r="W84" s="77" t="s">
        <v>22</v>
      </c>
      <c r="X84" s="77" t="s">
        <v>23</v>
      </c>
      <c r="Y84" s="77" t="s">
        <v>24</v>
      </c>
      <c r="Z84" s="77" t="s">
        <v>25</v>
      </c>
      <c r="AA84" s="77" t="s">
        <v>26</v>
      </c>
      <c r="AB84" s="77" t="s">
        <v>27</v>
      </c>
      <c r="AC84" s="77" t="s">
        <v>28</v>
      </c>
      <c r="AD84" s="77" t="s">
        <v>29</v>
      </c>
      <c r="AE84" s="77" t="s">
        <v>30</v>
      </c>
      <c r="AF84" s="77" t="s">
        <v>31</v>
      </c>
      <c r="AG84" s="77" t="s">
        <v>32</v>
      </c>
      <c r="AH84" s="76" t="s">
        <v>33</v>
      </c>
      <c r="AI84" s="77" t="s">
        <v>34</v>
      </c>
      <c r="AJ84" s="77" t="s">
        <v>35</v>
      </c>
    </row>
    <row r="85" spans="1:36" x14ac:dyDescent="0.25">
      <c r="A85" s="29" t="s">
        <v>251</v>
      </c>
      <c r="B85" s="11">
        <f>B95-B75-B65-B55-B35-B25-B15-B5-B45</f>
        <v>0</v>
      </c>
      <c r="C85" s="11">
        <f t="shared" ref="C85:AI85" si="15">C95-C75-C65-C55-C35-C25-C15-C5-C45</f>
        <v>0</v>
      </c>
      <c r="D85" s="11">
        <f t="shared" si="15"/>
        <v>8897023</v>
      </c>
      <c r="E85" s="11">
        <f t="shared" si="15"/>
        <v>37987</v>
      </c>
      <c r="F85" s="11">
        <f t="shared" si="15"/>
        <v>2432097</v>
      </c>
      <c r="G85" s="11">
        <f t="shared" si="15"/>
        <v>1067748</v>
      </c>
      <c r="H85" s="11">
        <f t="shared" si="15"/>
        <v>1622969</v>
      </c>
      <c r="I85" s="11">
        <f t="shared" si="15"/>
        <v>0</v>
      </c>
      <c r="J85" s="11">
        <f t="shared" si="15"/>
        <v>78</v>
      </c>
      <c r="K85" s="11">
        <f t="shared" si="15"/>
        <v>108</v>
      </c>
      <c r="L85" s="11">
        <f t="shared" si="15"/>
        <v>357190.39</v>
      </c>
      <c r="M85" s="11">
        <f t="shared" si="15"/>
        <v>358396</v>
      </c>
      <c r="N85" s="11">
        <f t="shared" si="15"/>
        <v>9290</v>
      </c>
      <c r="O85" s="11">
        <f t="shared" si="15"/>
        <v>1451777</v>
      </c>
      <c r="P85" s="11">
        <f t="shared" si="15"/>
        <v>2652142</v>
      </c>
      <c r="Q85" s="11">
        <f t="shared" si="15"/>
        <v>4375921</v>
      </c>
      <c r="R85" s="11">
        <f t="shared" si="15"/>
        <v>571</v>
      </c>
      <c r="S85" s="11">
        <f t="shared" si="15"/>
        <v>17279</v>
      </c>
      <c r="T85" s="11">
        <f t="shared" si="15"/>
        <v>2328</v>
      </c>
      <c r="U85" s="11">
        <f t="shared" si="15"/>
        <v>0</v>
      </c>
      <c r="V85" s="11">
        <f t="shared" si="15"/>
        <v>1146582.0059999973</v>
      </c>
      <c r="W85" s="11">
        <f t="shared" si="15"/>
        <v>2798440</v>
      </c>
      <c r="X85" s="11">
        <f t="shared" si="15"/>
        <v>14872786</v>
      </c>
      <c r="Y85" s="11">
        <f t="shared" si="15"/>
        <v>12510</v>
      </c>
      <c r="Z85" s="11">
        <f t="shared" si="15"/>
        <v>1698001</v>
      </c>
      <c r="AA85" s="11">
        <f t="shared" si="15"/>
        <v>0</v>
      </c>
      <c r="AB85" s="11">
        <f t="shared" si="15"/>
        <v>0</v>
      </c>
      <c r="AC85" s="11">
        <f t="shared" si="15"/>
        <v>2175023</v>
      </c>
      <c r="AD85" s="11">
        <f t="shared" si="15"/>
        <v>2276010</v>
      </c>
      <c r="AE85" s="11">
        <f t="shared" si="15"/>
        <v>512515</v>
      </c>
      <c r="AF85" s="11">
        <f t="shared" si="15"/>
        <v>8153020</v>
      </c>
      <c r="AG85" s="11">
        <f t="shared" si="15"/>
        <v>1274344</v>
      </c>
      <c r="AH85" s="11">
        <f t="shared" si="15"/>
        <v>3740784</v>
      </c>
      <c r="AI85" s="11">
        <f t="shared" si="15"/>
        <v>1991671</v>
      </c>
      <c r="AJ85" s="11">
        <f t="shared" ref="AJ85:AJ91" si="16">SUM(B85:AI85)</f>
        <v>63934590.395999998</v>
      </c>
    </row>
    <row r="86" spans="1:36" x14ac:dyDescent="0.25">
      <c r="A86" s="29" t="s">
        <v>301</v>
      </c>
      <c r="B86" s="11">
        <f t="shared" ref="B86:AI86" si="17">B96-B76-B66-B56-B36-B26-B16-B6-B46</f>
        <v>0</v>
      </c>
      <c r="C86" s="11">
        <f t="shared" si="17"/>
        <v>0</v>
      </c>
      <c r="D86" s="11">
        <f t="shared" si="17"/>
        <v>0</v>
      </c>
      <c r="E86" s="11">
        <f t="shared" si="17"/>
        <v>0</v>
      </c>
      <c r="F86" s="11">
        <f t="shared" si="17"/>
        <v>0</v>
      </c>
      <c r="G86" s="11">
        <f t="shared" si="17"/>
        <v>0</v>
      </c>
      <c r="H86" s="11">
        <f t="shared" si="17"/>
        <v>0</v>
      </c>
      <c r="I86" s="11">
        <f t="shared" si="17"/>
        <v>0</v>
      </c>
      <c r="J86" s="11">
        <f t="shared" si="17"/>
        <v>0</v>
      </c>
      <c r="K86" s="11">
        <f t="shared" si="17"/>
        <v>0</v>
      </c>
      <c r="L86" s="11">
        <f t="shared" si="17"/>
        <v>0</v>
      </c>
      <c r="M86" s="11">
        <f t="shared" si="17"/>
        <v>0</v>
      </c>
      <c r="N86" s="11">
        <f t="shared" si="17"/>
        <v>416362.42</v>
      </c>
      <c r="O86" s="11">
        <f t="shared" si="17"/>
        <v>0</v>
      </c>
      <c r="P86" s="11">
        <f t="shared" si="17"/>
        <v>0</v>
      </c>
      <c r="Q86" s="11">
        <f t="shared" si="17"/>
        <v>0</v>
      </c>
      <c r="R86" s="11">
        <f t="shared" si="17"/>
        <v>0</v>
      </c>
      <c r="S86" s="11">
        <f t="shared" si="17"/>
        <v>0</v>
      </c>
      <c r="T86" s="11">
        <f t="shared" si="17"/>
        <v>0</v>
      </c>
      <c r="U86" s="11">
        <f t="shared" si="17"/>
        <v>0</v>
      </c>
      <c r="V86" s="11">
        <f t="shared" si="17"/>
        <v>11721.931000000041</v>
      </c>
      <c r="W86" s="11">
        <f t="shared" si="17"/>
        <v>0</v>
      </c>
      <c r="X86" s="11">
        <f t="shared" si="17"/>
        <v>38366</v>
      </c>
      <c r="Y86" s="11">
        <f t="shared" si="17"/>
        <v>1817</v>
      </c>
      <c r="Z86" s="11">
        <f t="shared" si="17"/>
        <v>0</v>
      </c>
      <c r="AA86" s="11">
        <f t="shared" si="17"/>
        <v>0</v>
      </c>
      <c r="AB86" s="11">
        <f t="shared" si="17"/>
        <v>0</v>
      </c>
      <c r="AC86" s="11">
        <f t="shared" si="17"/>
        <v>0</v>
      </c>
      <c r="AD86" s="11">
        <f t="shared" si="17"/>
        <v>0</v>
      </c>
      <c r="AE86" s="11">
        <f t="shared" si="17"/>
        <v>0</v>
      </c>
      <c r="AF86" s="11">
        <f t="shared" si="17"/>
        <v>0</v>
      </c>
      <c r="AG86" s="11">
        <f t="shared" si="17"/>
        <v>-511982</v>
      </c>
      <c r="AH86" s="11">
        <f t="shared" si="17"/>
        <v>73731</v>
      </c>
      <c r="AI86" s="11">
        <f t="shared" si="17"/>
        <v>0</v>
      </c>
      <c r="AJ86" s="11">
        <f t="shared" ref="AJ86:AJ90" si="18">SUM(B86:AI86)</f>
        <v>30016.351000000024</v>
      </c>
    </row>
    <row r="87" spans="1:36" x14ac:dyDescent="0.25">
      <c r="A87" s="29" t="s">
        <v>302</v>
      </c>
      <c r="B87" s="11">
        <f t="shared" ref="B87:AI87" si="19">B97-B77-B67-B57-B37-B27-B17-B7-B47</f>
        <v>0</v>
      </c>
      <c r="C87" s="11">
        <f t="shared" si="19"/>
        <v>0</v>
      </c>
      <c r="D87" s="11">
        <f t="shared" si="19"/>
        <v>6659416</v>
      </c>
      <c r="E87" s="11">
        <f t="shared" si="19"/>
        <v>12204</v>
      </c>
      <c r="F87" s="11">
        <f t="shared" si="19"/>
        <v>1714303</v>
      </c>
      <c r="G87" s="11">
        <f t="shared" si="19"/>
        <v>847891</v>
      </c>
      <c r="H87" s="11">
        <f t="shared" si="19"/>
        <v>1352756</v>
      </c>
      <c r="I87" s="11">
        <f t="shared" si="19"/>
        <v>0</v>
      </c>
      <c r="J87" s="11">
        <f t="shared" si="19"/>
        <v>0</v>
      </c>
      <c r="K87" s="11">
        <f t="shared" si="19"/>
        <v>-315</v>
      </c>
      <c r="L87" s="11">
        <f t="shared" si="19"/>
        <v>107988.52</v>
      </c>
      <c r="M87" s="11">
        <f t="shared" si="19"/>
        <v>204086</v>
      </c>
      <c r="N87" s="11">
        <f t="shared" si="19"/>
        <v>190209.49</v>
      </c>
      <c r="O87" s="11">
        <f t="shared" si="19"/>
        <v>0</v>
      </c>
      <c r="P87" s="11">
        <f t="shared" si="19"/>
        <v>0</v>
      </c>
      <c r="Q87" s="11">
        <f t="shared" si="19"/>
        <v>3372767</v>
      </c>
      <c r="R87" s="11">
        <f t="shared" si="19"/>
        <v>292</v>
      </c>
      <c r="S87" s="11">
        <f t="shared" si="19"/>
        <v>4985</v>
      </c>
      <c r="T87" s="11">
        <f t="shared" si="19"/>
        <v>0</v>
      </c>
      <c r="U87" s="11">
        <f t="shared" si="19"/>
        <v>0</v>
      </c>
      <c r="V87" s="11">
        <f t="shared" si="19"/>
        <v>-292648.20700000133</v>
      </c>
      <c r="W87" s="11">
        <f t="shared" si="19"/>
        <v>0</v>
      </c>
      <c r="X87" s="11">
        <f t="shared" si="19"/>
        <v>4705710</v>
      </c>
      <c r="Y87" s="11">
        <f t="shared" si="19"/>
        <v>635</v>
      </c>
      <c r="Z87" s="11">
        <f t="shared" si="19"/>
        <v>1106804</v>
      </c>
      <c r="AA87" s="11">
        <f t="shared" si="19"/>
        <v>0</v>
      </c>
      <c r="AB87" s="11">
        <f t="shared" si="19"/>
        <v>0</v>
      </c>
      <c r="AC87" s="11">
        <f t="shared" si="19"/>
        <v>0</v>
      </c>
      <c r="AD87" s="11">
        <f t="shared" si="19"/>
        <v>1767557</v>
      </c>
      <c r="AE87" s="11">
        <f t="shared" si="19"/>
        <v>497014</v>
      </c>
      <c r="AF87" s="11">
        <f t="shared" si="19"/>
        <v>2024214</v>
      </c>
      <c r="AG87" s="11">
        <f t="shared" si="19"/>
        <v>671653</v>
      </c>
      <c r="AH87" s="11">
        <f t="shared" si="19"/>
        <v>3056248</v>
      </c>
      <c r="AI87" s="11">
        <f t="shared" si="19"/>
        <v>1489753</v>
      </c>
      <c r="AJ87" s="11">
        <f t="shared" si="18"/>
        <v>29493522.802999999</v>
      </c>
    </row>
    <row r="88" spans="1:36" x14ac:dyDescent="0.25">
      <c r="A88" s="29" t="s">
        <v>305</v>
      </c>
      <c r="B88" s="11">
        <f t="shared" ref="B88:AI88" si="20">B98-B78-B68-B58-B38-B28-B18-B8-B48</f>
        <v>0</v>
      </c>
      <c r="C88" s="11">
        <f t="shared" si="20"/>
        <v>0</v>
      </c>
      <c r="D88" s="11">
        <f t="shared" si="20"/>
        <v>2237607</v>
      </c>
      <c r="E88" s="11">
        <f t="shared" si="20"/>
        <v>0</v>
      </c>
      <c r="F88" s="11">
        <f t="shared" si="20"/>
        <v>0</v>
      </c>
      <c r="G88" s="11">
        <f t="shared" si="20"/>
        <v>219856</v>
      </c>
      <c r="H88" s="11">
        <f t="shared" si="20"/>
        <v>0</v>
      </c>
      <c r="I88" s="11">
        <f t="shared" si="20"/>
        <v>0</v>
      </c>
      <c r="J88" s="11">
        <f t="shared" si="20"/>
        <v>0</v>
      </c>
      <c r="K88" s="11">
        <f t="shared" si="20"/>
        <v>0</v>
      </c>
      <c r="L88" s="11">
        <f t="shared" si="20"/>
        <v>0</v>
      </c>
      <c r="M88" s="11">
        <f t="shared" si="20"/>
        <v>154311</v>
      </c>
      <c r="N88" s="11">
        <f t="shared" si="20"/>
        <v>235445</v>
      </c>
      <c r="O88" s="11">
        <f t="shared" si="20"/>
        <v>0</v>
      </c>
      <c r="P88" s="11">
        <f t="shared" si="20"/>
        <v>0</v>
      </c>
      <c r="Q88" s="11">
        <f t="shared" si="20"/>
        <v>0</v>
      </c>
      <c r="R88" s="11">
        <f t="shared" si="20"/>
        <v>0</v>
      </c>
      <c r="S88" s="11">
        <f t="shared" si="20"/>
        <v>0</v>
      </c>
      <c r="T88" s="11">
        <f t="shared" si="20"/>
        <v>0</v>
      </c>
      <c r="U88" s="11">
        <f t="shared" si="20"/>
        <v>0</v>
      </c>
      <c r="V88" s="11">
        <f t="shared" si="20"/>
        <v>1450951.1440000003</v>
      </c>
      <c r="W88" s="11">
        <f t="shared" si="20"/>
        <v>0</v>
      </c>
      <c r="X88" s="11">
        <f t="shared" si="20"/>
        <v>0</v>
      </c>
      <c r="Y88" s="11">
        <f t="shared" si="20"/>
        <v>0</v>
      </c>
      <c r="Z88" s="11">
        <f t="shared" si="20"/>
        <v>0</v>
      </c>
      <c r="AA88" s="11">
        <f t="shared" si="20"/>
        <v>0</v>
      </c>
      <c r="AB88" s="11">
        <f t="shared" si="20"/>
        <v>0</v>
      </c>
      <c r="AC88" s="11">
        <f t="shared" si="20"/>
        <v>0</v>
      </c>
      <c r="AD88" s="11">
        <f t="shared" si="20"/>
        <v>0</v>
      </c>
      <c r="AE88" s="11">
        <f t="shared" si="20"/>
        <v>15501</v>
      </c>
      <c r="AF88" s="11">
        <f t="shared" si="20"/>
        <v>6128806</v>
      </c>
      <c r="AG88" s="11">
        <f t="shared" si="20"/>
        <v>0</v>
      </c>
      <c r="AH88" s="11">
        <f t="shared" si="20"/>
        <v>0</v>
      </c>
      <c r="AI88" s="11">
        <f t="shared" si="20"/>
        <v>0</v>
      </c>
      <c r="AJ88" s="11">
        <f t="shared" si="18"/>
        <v>10442477.144000001</v>
      </c>
    </row>
    <row r="89" spans="1:36" x14ac:dyDescent="0.25">
      <c r="A89" s="29" t="s">
        <v>304</v>
      </c>
      <c r="B89" s="11">
        <f t="shared" ref="B89:AI89" si="21">B99-B79-B69-B59-B39-B29-B19-B9-B49</f>
        <v>0</v>
      </c>
      <c r="C89" s="11">
        <f t="shared" si="21"/>
        <v>0</v>
      </c>
      <c r="D89" s="11">
        <f t="shared" si="21"/>
        <v>24684338</v>
      </c>
      <c r="E89" s="11">
        <f t="shared" si="21"/>
        <v>154507</v>
      </c>
      <c r="F89" s="11">
        <f t="shared" si="21"/>
        <v>5504608</v>
      </c>
      <c r="G89" s="11">
        <f t="shared" si="21"/>
        <v>574192</v>
      </c>
      <c r="H89" s="11">
        <f t="shared" si="21"/>
        <v>734700</v>
      </c>
      <c r="I89" s="11">
        <f t="shared" si="21"/>
        <v>0</v>
      </c>
      <c r="J89" s="11">
        <f t="shared" si="21"/>
        <v>2150</v>
      </c>
      <c r="K89" s="11">
        <f t="shared" si="21"/>
        <v>316</v>
      </c>
      <c r="L89" s="11">
        <f t="shared" si="21"/>
        <v>60218915.810000002</v>
      </c>
      <c r="M89" s="11">
        <f t="shared" si="21"/>
        <v>1668244</v>
      </c>
      <c r="N89" s="11">
        <f t="shared" si="21"/>
        <v>896778.45</v>
      </c>
      <c r="O89" s="11">
        <f t="shared" si="21"/>
        <v>14477683</v>
      </c>
      <c r="P89" s="11">
        <f t="shared" si="21"/>
        <v>35907155</v>
      </c>
      <c r="Q89" s="11">
        <f t="shared" si="21"/>
        <v>1775545</v>
      </c>
      <c r="R89" s="11">
        <f t="shared" si="21"/>
        <v>5696</v>
      </c>
      <c r="S89" s="11">
        <f t="shared" si="21"/>
        <v>442578</v>
      </c>
      <c r="T89" s="11">
        <f t="shared" si="21"/>
        <v>970844</v>
      </c>
      <c r="U89" s="11">
        <f t="shared" si="21"/>
        <v>0</v>
      </c>
      <c r="V89" s="11">
        <f t="shared" si="21"/>
        <v>6769777.6010000091</v>
      </c>
      <c r="W89" s="11">
        <f t="shared" si="21"/>
        <v>24496159</v>
      </c>
      <c r="X89" s="11">
        <f t="shared" si="21"/>
        <v>21254202</v>
      </c>
      <c r="Y89" s="11">
        <f t="shared" si="21"/>
        <v>345562</v>
      </c>
      <c r="Z89" s="11">
        <f t="shared" si="21"/>
        <v>-47301619</v>
      </c>
      <c r="AA89" s="11">
        <f t="shared" si="21"/>
        <v>0</v>
      </c>
      <c r="AB89" s="11">
        <f t="shared" si="21"/>
        <v>0</v>
      </c>
      <c r="AC89" s="11">
        <f t="shared" si="21"/>
        <v>583477</v>
      </c>
      <c r="AD89" s="11">
        <f t="shared" si="21"/>
        <v>3402991</v>
      </c>
      <c r="AE89" s="11">
        <f t="shared" si="21"/>
        <v>181488</v>
      </c>
      <c r="AF89" s="11">
        <f t="shared" si="21"/>
        <v>4184976</v>
      </c>
      <c r="AG89" s="11">
        <f t="shared" si="21"/>
        <v>6653539</v>
      </c>
      <c r="AH89" s="11">
        <f t="shared" si="21"/>
        <v>6043372</v>
      </c>
      <c r="AI89" s="11">
        <f t="shared" si="21"/>
        <v>971517</v>
      </c>
      <c r="AJ89" s="11">
        <f t="shared" si="18"/>
        <v>175603691.861</v>
      </c>
    </row>
    <row r="90" spans="1:36" x14ac:dyDescent="0.25">
      <c r="A90" s="29" t="s">
        <v>303</v>
      </c>
      <c r="B90" s="11">
        <f t="shared" ref="B90:AI90" si="22">B100-B80-B70-B60-B40-B30-B20-B10-B50</f>
        <v>0</v>
      </c>
      <c r="C90" s="11">
        <f t="shared" si="22"/>
        <v>0</v>
      </c>
      <c r="D90" s="11">
        <f t="shared" si="22"/>
        <v>27005967</v>
      </c>
      <c r="E90" s="11">
        <f t="shared" si="22"/>
        <v>139503</v>
      </c>
      <c r="F90" s="11">
        <f t="shared" si="22"/>
        <v>4978768</v>
      </c>
      <c r="G90" s="11">
        <f t="shared" si="22"/>
        <v>811846</v>
      </c>
      <c r="H90" s="11">
        <f t="shared" si="22"/>
        <v>888145</v>
      </c>
      <c r="I90" s="11">
        <f t="shared" si="22"/>
        <v>0</v>
      </c>
      <c r="J90" s="11">
        <f t="shared" si="22"/>
        <v>-633</v>
      </c>
      <c r="K90" s="11">
        <f t="shared" si="22"/>
        <v>342</v>
      </c>
      <c r="L90" s="11">
        <f t="shared" si="22"/>
        <v>58777165.600000001</v>
      </c>
      <c r="M90" s="11">
        <f t="shared" si="22"/>
        <v>1549965.7</v>
      </c>
      <c r="N90" s="11">
        <f t="shared" si="22"/>
        <v>1123970.5600000001</v>
      </c>
      <c r="O90" s="11">
        <f t="shared" si="22"/>
        <v>-15246791</v>
      </c>
      <c r="P90" s="11">
        <f t="shared" si="22"/>
        <v>37557407</v>
      </c>
      <c r="Q90" s="11">
        <f t="shared" si="22"/>
        <v>2595250</v>
      </c>
      <c r="R90" s="11">
        <f t="shared" si="22"/>
        <v>3939</v>
      </c>
      <c r="S90" s="11">
        <f t="shared" si="22"/>
        <v>293906</v>
      </c>
      <c r="T90" s="11">
        <f t="shared" si="22"/>
        <v>-934337</v>
      </c>
      <c r="U90" s="11">
        <f t="shared" si="22"/>
        <v>0</v>
      </c>
      <c r="V90" s="11">
        <f t="shared" si="22"/>
        <v>8279088.2959999824</v>
      </c>
      <c r="W90" s="11">
        <f t="shared" si="22"/>
        <v>23933810</v>
      </c>
      <c r="X90" s="11">
        <f t="shared" si="22"/>
        <v>29747706</v>
      </c>
      <c r="Y90" s="11">
        <f t="shared" si="22"/>
        <v>344998</v>
      </c>
      <c r="Z90" s="11">
        <f t="shared" si="22"/>
        <v>-45644380</v>
      </c>
      <c r="AA90" s="11">
        <f t="shared" si="22"/>
        <v>0</v>
      </c>
      <c r="AB90" s="11">
        <f t="shared" si="22"/>
        <v>0</v>
      </c>
      <c r="AC90" s="11">
        <f t="shared" si="22"/>
        <v>-2715942</v>
      </c>
      <c r="AD90" s="11">
        <f t="shared" si="22"/>
        <v>3063547</v>
      </c>
      <c r="AE90" s="11">
        <f t="shared" si="22"/>
        <v>172467</v>
      </c>
      <c r="AF90" s="11">
        <f t="shared" si="22"/>
        <v>3622874</v>
      </c>
      <c r="AG90" s="11">
        <f t="shared" si="22"/>
        <v>5192747</v>
      </c>
      <c r="AH90" s="11">
        <f t="shared" si="22"/>
        <v>6070685</v>
      </c>
      <c r="AI90" s="11">
        <f t="shared" si="22"/>
        <v>1437727</v>
      </c>
      <c r="AJ90" s="11">
        <f t="shared" si="18"/>
        <v>153049741.15599999</v>
      </c>
    </row>
    <row r="91" spans="1:36" x14ac:dyDescent="0.25">
      <c r="A91" s="29" t="s">
        <v>298</v>
      </c>
      <c r="B91" s="11">
        <f>B101-B81-B71-B61-B51-B41-B31-B21-B11</f>
        <v>0</v>
      </c>
      <c r="C91" s="11">
        <f t="shared" ref="C91:AI91" si="23">C101-C81-C71-C61-C51-C41-C31-C21-C11</f>
        <v>0</v>
      </c>
      <c r="D91" s="11">
        <f t="shared" si="23"/>
        <v>-84022</v>
      </c>
      <c r="E91" s="11">
        <f t="shared" si="23"/>
        <v>40787</v>
      </c>
      <c r="F91" s="11">
        <f t="shared" si="23"/>
        <v>1243634</v>
      </c>
      <c r="G91" s="11">
        <f t="shared" si="23"/>
        <v>-17798</v>
      </c>
      <c r="H91" s="11">
        <f t="shared" si="23"/>
        <v>116768</v>
      </c>
      <c r="I91" s="11">
        <f t="shared" si="23"/>
        <v>0</v>
      </c>
      <c r="J91" s="11">
        <f t="shared" si="23"/>
        <v>1517</v>
      </c>
      <c r="K91" s="11">
        <f t="shared" si="23"/>
        <v>397</v>
      </c>
      <c r="L91" s="11">
        <f t="shared" si="23"/>
        <v>1449559.66</v>
      </c>
      <c r="M91" s="11">
        <f t="shared" si="23"/>
        <v>272591</v>
      </c>
      <c r="N91" s="11">
        <f t="shared" si="23"/>
        <v>8256</v>
      </c>
      <c r="O91" s="11">
        <f t="shared" si="23"/>
        <v>387292</v>
      </c>
      <c r="P91" s="11">
        <f t="shared" si="23"/>
        <v>542369</v>
      </c>
      <c r="Q91" s="11">
        <f t="shared" si="23"/>
        <v>183449</v>
      </c>
      <c r="R91" s="11">
        <f t="shared" si="23"/>
        <v>2036</v>
      </c>
      <c r="S91" s="11">
        <f t="shared" si="23"/>
        <v>62990</v>
      </c>
      <c r="T91" s="11">
        <f t="shared" si="23"/>
        <v>2872</v>
      </c>
      <c r="U91" s="11">
        <f t="shared" si="23"/>
        <v>0</v>
      </c>
      <c r="V91" s="11">
        <f t="shared" si="23"/>
        <v>-58359.550999952946</v>
      </c>
      <c r="W91" s="11">
        <f t="shared" si="23"/>
        <v>1934473</v>
      </c>
      <c r="X91" s="11">
        <f t="shared" si="23"/>
        <v>1711939</v>
      </c>
      <c r="Y91" s="11">
        <f t="shared" si="23"/>
        <v>14259</v>
      </c>
      <c r="Z91" s="11">
        <f t="shared" si="23"/>
        <v>284177</v>
      </c>
      <c r="AA91" s="11">
        <f t="shared" si="23"/>
        <v>0</v>
      </c>
      <c r="AB91" s="11">
        <f t="shared" si="23"/>
        <v>0</v>
      </c>
      <c r="AC91" s="11">
        <f t="shared" si="23"/>
        <v>23997</v>
      </c>
      <c r="AD91" s="11">
        <f t="shared" si="23"/>
        <v>847897</v>
      </c>
      <c r="AE91" s="11">
        <f t="shared" si="23"/>
        <v>24523</v>
      </c>
      <c r="AF91" s="11">
        <f t="shared" si="23"/>
        <v>6690907</v>
      </c>
      <c r="AG91" s="11">
        <f t="shared" si="23"/>
        <v>2055098</v>
      </c>
      <c r="AH91" s="11">
        <f t="shared" si="23"/>
        <v>730954</v>
      </c>
      <c r="AI91" s="11">
        <f t="shared" si="23"/>
        <v>35708</v>
      </c>
      <c r="AJ91" s="11">
        <f t="shared" si="16"/>
        <v>18508270.10900005</v>
      </c>
    </row>
    <row r="92" spans="1:36" x14ac:dyDescent="0.25">
      <c r="A92" s="19"/>
    </row>
    <row r="93" spans="1:36" x14ac:dyDescent="0.25">
      <c r="A93" s="36" t="s">
        <v>57</v>
      </c>
    </row>
    <row r="94" spans="1:36" x14ac:dyDescent="0.25">
      <c r="A94" s="4" t="s">
        <v>0</v>
      </c>
      <c r="B94" s="77" t="s">
        <v>1</v>
      </c>
      <c r="C94" s="77" t="s">
        <v>2</v>
      </c>
      <c r="D94" s="77" t="s">
        <v>3</v>
      </c>
      <c r="E94" s="77" t="s">
        <v>4</v>
      </c>
      <c r="F94" s="77" t="s">
        <v>5</v>
      </c>
      <c r="G94" s="77" t="s">
        <v>6</v>
      </c>
      <c r="H94" s="77" t="s">
        <v>7</v>
      </c>
      <c r="I94" s="77" t="s">
        <v>8</v>
      </c>
      <c r="J94" s="77" t="s">
        <v>9</v>
      </c>
      <c r="K94" s="77" t="s">
        <v>10</v>
      </c>
      <c r="L94" s="77" t="s">
        <v>11</v>
      </c>
      <c r="M94" s="77" t="s">
        <v>12</v>
      </c>
      <c r="N94" s="77" t="s">
        <v>13</v>
      </c>
      <c r="O94" s="77" t="s">
        <v>14</v>
      </c>
      <c r="P94" s="77" t="s">
        <v>15</v>
      </c>
      <c r="Q94" s="77" t="s">
        <v>16</v>
      </c>
      <c r="R94" s="77" t="s">
        <v>17</v>
      </c>
      <c r="S94" s="77" t="s">
        <v>18</v>
      </c>
      <c r="T94" s="77" t="s">
        <v>19</v>
      </c>
      <c r="U94" s="77" t="s">
        <v>20</v>
      </c>
      <c r="V94" s="77" t="s">
        <v>21</v>
      </c>
      <c r="W94" s="77" t="s">
        <v>22</v>
      </c>
      <c r="X94" s="77" t="s">
        <v>23</v>
      </c>
      <c r="Y94" s="77" t="s">
        <v>24</v>
      </c>
      <c r="Z94" s="77" t="s">
        <v>25</v>
      </c>
      <c r="AA94" s="77" t="s">
        <v>26</v>
      </c>
      <c r="AB94" s="77" t="s">
        <v>27</v>
      </c>
      <c r="AC94" s="77" t="s">
        <v>28</v>
      </c>
      <c r="AD94" s="77" t="s">
        <v>29</v>
      </c>
      <c r="AE94" s="77" t="s">
        <v>30</v>
      </c>
      <c r="AF94" s="77" t="s">
        <v>31</v>
      </c>
      <c r="AG94" s="77" t="s">
        <v>32</v>
      </c>
      <c r="AH94" s="76" t="s">
        <v>33</v>
      </c>
      <c r="AI94" s="77" t="s">
        <v>34</v>
      </c>
      <c r="AJ94" s="77" t="s">
        <v>35</v>
      </c>
    </row>
    <row r="95" spans="1:36" x14ac:dyDescent="0.25">
      <c r="A95" s="29" t="s">
        <v>251</v>
      </c>
      <c r="B95" s="11">
        <v>172022</v>
      </c>
      <c r="C95" s="11">
        <v>566847</v>
      </c>
      <c r="D95" s="11">
        <v>8897023</v>
      </c>
      <c r="E95" s="11">
        <v>3426608</v>
      </c>
      <c r="F95" s="11">
        <v>12440789</v>
      </c>
      <c r="G95" s="11">
        <v>3401176</v>
      </c>
      <c r="H95" s="11">
        <v>4965183</v>
      </c>
      <c r="I95" s="11">
        <v>651452</v>
      </c>
      <c r="J95" s="11">
        <v>83500</v>
      </c>
      <c r="K95" s="11">
        <v>23764</v>
      </c>
      <c r="L95" s="11">
        <v>357190.39</v>
      </c>
      <c r="M95" s="11">
        <v>2363100</v>
      </c>
      <c r="N95" s="11">
        <v>397666</v>
      </c>
      <c r="O95" s="11">
        <v>8211000</v>
      </c>
      <c r="P95" s="11">
        <v>15304048</v>
      </c>
      <c r="Q95" s="11">
        <v>11514234</v>
      </c>
      <c r="R95" s="11">
        <v>232578</v>
      </c>
      <c r="S95" s="11">
        <v>1342853</v>
      </c>
      <c r="T95" s="11">
        <v>547223</v>
      </c>
      <c r="U95" s="11">
        <v>1003747</v>
      </c>
      <c r="V95" s="11">
        <v>27105925.446999997</v>
      </c>
      <c r="W95" s="11">
        <v>44884768</v>
      </c>
      <c r="X95" s="11">
        <v>33029021</v>
      </c>
      <c r="Y95" s="11">
        <v>23428</v>
      </c>
      <c r="Z95" s="11">
        <v>8324896</v>
      </c>
      <c r="AA95" s="11">
        <v>1354</v>
      </c>
      <c r="AB95" s="11">
        <v>2921206</v>
      </c>
      <c r="AC95" s="11">
        <v>5814256</v>
      </c>
      <c r="AD95" s="11">
        <v>5376702</v>
      </c>
      <c r="AE95" s="11">
        <v>2188775</v>
      </c>
      <c r="AF95" s="11">
        <v>8153020</v>
      </c>
      <c r="AG95" s="11">
        <v>6828895</v>
      </c>
      <c r="AH95" s="39">
        <v>28338989</v>
      </c>
      <c r="AI95" s="11">
        <v>3236360</v>
      </c>
      <c r="AJ95" s="11">
        <f t="shared" ref="AJ95:AJ101" si="24">SUM(B95:AI95)</f>
        <v>252129598.83700001</v>
      </c>
    </row>
    <row r="96" spans="1:36" x14ac:dyDescent="0.25">
      <c r="A96" s="29" t="s">
        <v>301</v>
      </c>
      <c r="B96" s="11"/>
      <c r="C96" s="11"/>
      <c r="D96" s="11">
        <v>0</v>
      </c>
      <c r="E96" s="11">
        <v>284</v>
      </c>
      <c r="F96" s="11">
        <v>8959</v>
      </c>
      <c r="G96" s="11">
        <v>3327</v>
      </c>
      <c r="H96" s="11">
        <v>-1119</v>
      </c>
      <c r="I96" s="11">
        <v>610263</v>
      </c>
      <c r="J96" s="11"/>
      <c r="K96" s="11">
        <v>19878</v>
      </c>
      <c r="L96" s="11"/>
      <c r="M96" s="11">
        <v>1183</v>
      </c>
      <c r="N96" s="11">
        <v>423336</v>
      </c>
      <c r="O96" s="11"/>
      <c r="P96" s="11"/>
      <c r="Q96" s="11">
        <v>14998</v>
      </c>
      <c r="R96" s="11">
        <v>51</v>
      </c>
      <c r="S96" s="11">
        <v>5092</v>
      </c>
      <c r="T96" s="11"/>
      <c r="U96" s="11"/>
      <c r="V96" s="11">
        <v>662439.18900000001</v>
      </c>
      <c r="W96" s="11"/>
      <c r="X96" s="11">
        <v>880760</v>
      </c>
      <c r="Y96" s="11">
        <v>1817</v>
      </c>
      <c r="Z96" s="11">
        <v>32218</v>
      </c>
      <c r="AA96" s="11"/>
      <c r="AB96" s="11">
        <v>75012</v>
      </c>
      <c r="AC96" s="11"/>
      <c r="AD96" s="11"/>
      <c r="AE96" s="11">
        <v>104</v>
      </c>
      <c r="AF96" s="11"/>
      <c r="AG96" s="11">
        <v>195501</v>
      </c>
      <c r="AH96" s="39">
        <v>1193554</v>
      </c>
      <c r="AI96" s="11">
        <v>-141</v>
      </c>
      <c r="AJ96" s="11">
        <f t="shared" si="24"/>
        <v>4127516.1890000002</v>
      </c>
    </row>
    <row r="97" spans="1:36" x14ac:dyDescent="0.25">
      <c r="A97" s="29" t="s">
        <v>302</v>
      </c>
      <c r="B97" s="11">
        <v>80579</v>
      </c>
      <c r="C97" s="11">
        <v>28391</v>
      </c>
      <c r="D97" s="11">
        <v>6659416</v>
      </c>
      <c r="E97" s="11">
        <v>531857</v>
      </c>
      <c r="F97" s="11">
        <v>3631753</v>
      </c>
      <c r="G97" s="11">
        <v>1072278</v>
      </c>
      <c r="H97" s="11">
        <v>2009481</v>
      </c>
      <c r="I97" s="11">
        <v>503618</v>
      </c>
      <c r="J97" s="11"/>
      <c r="K97" s="11">
        <v>-308484</v>
      </c>
      <c r="L97" s="11">
        <v>107988.52</v>
      </c>
      <c r="M97" s="11">
        <v>619704</v>
      </c>
      <c r="N97" s="11">
        <v>235356</v>
      </c>
      <c r="O97" s="11"/>
      <c r="P97" s="11"/>
      <c r="Q97" s="11">
        <v>4985041</v>
      </c>
      <c r="R97" s="11">
        <v>37234</v>
      </c>
      <c r="S97" s="11">
        <v>147891</v>
      </c>
      <c r="T97" s="11"/>
      <c r="U97" s="11">
        <v>60547</v>
      </c>
      <c r="V97" s="11">
        <v>5408038.0899999989</v>
      </c>
      <c r="W97" s="11"/>
      <c r="X97" s="11">
        <v>6471389</v>
      </c>
      <c r="Y97" s="11">
        <v>1543</v>
      </c>
      <c r="Z97" s="11">
        <v>2830827</v>
      </c>
      <c r="AA97" s="11">
        <v>379</v>
      </c>
      <c r="AB97" s="11">
        <v>1247286</v>
      </c>
      <c r="AC97" s="11"/>
      <c r="AD97" s="11">
        <v>2235718</v>
      </c>
      <c r="AE97" s="11">
        <v>663580</v>
      </c>
      <c r="AF97" s="11">
        <v>2024214</v>
      </c>
      <c r="AG97" s="11">
        <v>2379601</v>
      </c>
      <c r="AH97" s="39">
        <v>6786158</v>
      </c>
      <c r="AI97" s="11">
        <v>1622383</v>
      </c>
      <c r="AJ97" s="11">
        <f t="shared" si="24"/>
        <v>52073766.609999999</v>
      </c>
    </row>
    <row r="98" spans="1:36" x14ac:dyDescent="0.25">
      <c r="A98" s="29" t="s">
        <v>305</v>
      </c>
      <c r="B98" s="11">
        <v>91443</v>
      </c>
      <c r="C98" s="11">
        <v>538456</v>
      </c>
      <c r="D98" s="11">
        <v>2237607</v>
      </c>
      <c r="E98" s="11"/>
      <c r="F98" s="11"/>
      <c r="G98" s="11">
        <v>2332225</v>
      </c>
      <c r="H98" s="11"/>
      <c r="I98" s="11"/>
      <c r="J98" s="11"/>
      <c r="K98" s="11"/>
      <c r="L98" s="11"/>
      <c r="M98" s="11">
        <v>1744579</v>
      </c>
      <c r="N98" s="11">
        <v>585647</v>
      </c>
      <c r="O98" s="11"/>
      <c r="P98" s="11"/>
      <c r="Q98" s="11"/>
      <c r="R98" s="11"/>
      <c r="S98" s="11"/>
      <c r="T98" s="11"/>
      <c r="U98" s="11"/>
      <c r="V98" s="11">
        <v>22360326.545999996</v>
      </c>
      <c r="W98" s="11"/>
      <c r="X98" s="11"/>
      <c r="Y98" s="11"/>
      <c r="Z98" s="11"/>
      <c r="AA98" s="11">
        <v>975</v>
      </c>
      <c r="AB98" s="11"/>
      <c r="AC98" s="11"/>
      <c r="AD98" s="11"/>
      <c r="AE98" s="11">
        <v>1525300</v>
      </c>
      <c r="AF98" s="11">
        <v>6128806</v>
      </c>
      <c r="AG98" s="11"/>
      <c r="AH98" s="11"/>
      <c r="AI98" s="11"/>
      <c r="AJ98" s="11">
        <f t="shared" si="24"/>
        <v>37545364.545999996</v>
      </c>
    </row>
    <row r="99" spans="1:36" x14ac:dyDescent="0.25">
      <c r="A99" s="29" t="s">
        <v>304</v>
      </c>
      <c r="B99" s="11">
        <v>430275</v>
      </c>
      <c r="C99" s="11">
        <v>644126</v>
      </c>
      <c r="D99" s="11">
        <v>24684338</v>
      </c>
      <c r="E99" s="11">
        <v>2246420</v>
      </c>
      <c r="F99" s="11">
        <v>73825700</v>
      </c>
      <c r="G99" s="11">
        <v>21028252</v>
      </c>
      <c r="H99" s="11">
        <v>45908643</v>
      </c>
      <c r="I99" s="11"/>
      <c r="J99" s="11">
        <v>283060</v>
      </c>
      <c r="K99" s="11">
        <v>224771</v>
      </c>
      <c r="L99" s="11">
        <v>60218915.810000002</v>
      </c>
      <c r="M99" s="11">
        <v>20377064</v>
      </c>
      <c r="N99" s="11">
        <v>4536621</v>
      </c>
      <c r="O99" s="11">
        <v>63395290</v>
      </c>
      <c r="P99" s="11">
        <v>168143220</v>
      </c>
      <c r="Q99" s="11">
        <v>44581921</v>
      </c>
      <c r="R99" s="11">
        <v>1638795</v>
      </c>
      <c r="S99" s="11">
        <v>9381045</v>
      </c>
      <c r="T99" s="11">
        <v>14358711</v>
      </c>
      <c r="U99" s="11">
        <v>1292415</v>
      </c>
      <c r="V99" s="11">
        <v>156982982.817</v>
      </c>
      <c r="W99" s="11">
        <v>292707564</v>
      </c>
      <c r="X99" s="11">
        <v>177443232</v>
      </c>
      <c r="Y99" s="11">
        <v>1699992</v>
      </c>
      <c r="Z99" s="11"/>
      <c r="AA99" s="11">
        <v>5736</v>
      </c>
      <c r="AB99" s="11">
        <v>1928047</v>
      </c>
      <c r="AC99" s="11">
        <v>35278808</v>
      </c>
      <c r="AD99" s="11">
        <v>26474182</v>
      </c>
      <c r="AE99" s="11">
        <v>60371860</v>
      </c>
      <c r="AF99" s="11">
        <v>4184976</v>
      </c>
      <c r="AG99" s="11">
        <v>45373587</v>
      </c>
      <c r="AH99" s="39">
        <v>194442244</v>
      </c>
      <c r="AI99" s="11">
        <v>9692681</v>
      </c>
      <c r="AJ99" s="11">
        <f t="shared" si="24"/>
        <v>1563785474.6269999</v>
      </c>
    </row>
    <row r="100" spans="1:36" x14ac:dyDescent="0.25">
      <c r="A100" s="29" t="s">
        <v>303</v>
      </c>
      <c r="B100" s="11">
        <v>216698</v>
      </c>
      <c r="C100" s="11">
        <v>506845</v>
      </c>
      <c r="D100" s="11">
        <v>27005967</v>
      </c>
      <c r="E100" s="11">
        <v>2166984</v>
      </c>
      <c r="F100" s="11">
        <v>68470434</v>
      </c>
      <c r="G100" s="11">
        <v>20331150</v>
      </c>
      <c r="H100" s="11">
        <v>42309552</v>
      </c>
      <c r="I100" s="11">
        <v>31217</v>
      </c>
      <c r="J100" s="11">
        <v>-378161</v>
      </c>
      <c r="K100" s="11">
        <v>329518</v>
      </c>
      <c r="L100" s="11">
        <v>58777165.600000001</v>
      </c>
      <c r="M100" s="11">
        <v>19467986</v>
      </c>
      <c r="N100" s="11">
        <v>3429034</v>
      </c>
      <c r="O100" s="11">
        <v>-61214311</v>
      </c>
      <c r="P100" s="11">
        <v>162541759</v>
      </c>
      <c r="Q100" s="11">
        <v>41759996</v>
      </c>
      <c r="R100" s="11">
        <v>1382650</v>
      </c>
      <c r="S100" s="11">
        <v>8491010</v>
      </c>
      <c r="T100" s="11">
        <v>-12933748</v>
      </c>
      <c r="U100" s="11">
        <v>1132657</v>
      </c>
      <c r="V100" s="11">
        <v>158763727.18499994</v>
      </c>
      <c r="W100" s="11">
        <v>279856423</v>
      </c>
      <c r="X100" s="11">
        <v>177985737</v>
      </c>
      <c r="Y100" s="11">
        <v>1488355</v>
      </c>
      <c r="Z100" s="11"/>
      <c r="AA100" s="11">
        <v>1817</v>
      </c>
      <c r="AB100" s="11">
        <v>1647587</v>
      </c>
      <c r="AC100" s="11">
        <v>-35283992</v>
      </c>
      <c r="AD100" s="11">
        <v>24476341</v>
      </c>
      <c r="AE100" s="11">
        <v>57984359</v>
      </c>
      <c r="AF100" s="11">
        <v>3622874</v>
      </c>
      <c r="AG100" s="11">
        <v>40006018</v>
      </c>
      <c r="AH100" s="39">
        <v>182761596</v>
      </c>
      <c r="AI100" s="11">
        <v>9367099</v>
      </c>
      <c r="AJ100" s="11">
        <f t="shared" si="24"/>
        <v>1286502343.7849998</v>
      </c>
    </row>
    <row r="101" spans="1:36" x14ac:dyDescent="0.25">
      <c r="A101" s="29" t="s">
        <v>298</v>
      </c>
      <c r="B101" s="11">
        <v>305020</v>
      </c>
      <c r="C101" s="11">
        <v>675737</v>
      </c>
      <c r="D101" s="11">
        <v>-84022</v>
      </c>
      <c r="E101" s="11">
        <v>2974471</v>
      </c>
      <c r="F101" s="11">
        <v>14173261</v>
      </c>
      <c r="G101" s="11">
        <v>3029327</v>
      </c>
      <c r="H101" s="11">
        <v>6553674</v>
      </c>
      <c r="I101" s="11">
        <v>726880</v>
      </c>
      <c r="J101" s="11">
        <v>51271</v>
      </c>
      <c r="K101" s="11">
        <v>247379</v>
      </c>
      <c r="L101" s="11">
        <v>1449559.66</v>
      </c>
      <c r="M101" s="11">
        <v>2653658</v>
      </c>
      <c r="N101" s="11">
        <v>1693234</v>
      </c>
      <c r="O101" s="11">
        <v>7348497</v>
      </c>
      <c r="P101" s="11">
        <v>16941094</v>
      </c>
      <c r="Q101" s="11">
        <v>9366116</v>
      </c>
      <c r="R101" s="11">
        <v>451540</v>
      </c>
      <c r="S101" s="11">
        <v>1933370</v>
      </c>
      <c r="T101" s="11">
        <v>1348578</v>
      </c>
      <c r="U101" s="11">
        <v>1102958</v>
      </c>
      <c r="V101" s="11">
        <v>20579582.178000063</v>
      </c>
      <c r="W101" s="11">
        <v>50153431</v>
      </c>
      <c r="X101" s="11">
        <v>26895887</v>
      </c>
      <c r="Y101" s="11">
        <v>235340</v>
      </c>
      <c r="Z101" s="11">
        <v>6876506</v>
      </c>
      <c r="AA101" s="11">
        <v>4894</v>
      </c>
      <c r="AB101" s="11">
        <v>2029392</v>
      </c>
      <c r="AC101" s="11">
        <v>4719063</v>
      </c>
      <c r="AD101" s="11">
        <v>5138825</v>
      </c>
      <c r="AE101" s="11">
        <v>3912801</v>
      </c>
      <c r="AF101" s="11">
        <v>6690907</v>
      </c>
      <c r="AG101" s="11">
        <v>10012364</v>
      </c>
      <c r="AH101" s="39">
        <v>34427033</v>
      </c>
      <c r="AI101" s="11">
        <v>1939418</v>
      </c>
      <c r="AJ101" s="11">
        <f t="shared" si="24"/>
        <v>246557045.83800006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0" t="s">
        <v>238</v>
      </c>
    </row>
    <row r="2" spans="1:36" x14ac:dyDescent="0.25">
      <c r="A2" s="31" t="s">
        <v>48</v>
      </c>
    </row>
    <row r="3" spans="1:36" x14ac:dyDescent="0.25">
      <c r="A3" s="32" t="s">
        <v>239</v>
      </c>
    </row>
    <row r="4" spans="1:36" x14ac:dyDescent="0.25">
      <c r="A4" s="4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50" t="s">
        <v>9</v>
      </c>
      <c r="K4" s="50" t="s">
        <v>10</v>
      </c>
      <c r="L4" s="50" t="s">
        <v>11</v>
      </c>
      <c r="M4" s="50" t="s">
        <v>12</v>
      </c>
      <c r="N4" s="50" t="s">
        <v>13</v>
      </c>
      <c r="O4" s="50" t="s">
        <v>14</v>
      </c>
      <c r="P4" s="50" t="s">
        <v>15</v>
      </c>
      <c r="Q4" s="50" t="s">
        <v>16</v>
      </c>
      <c r="R4" s="50" t="s">
        <v>17</v>
      </c>
      <c r="S4" s="50" t="s">
        <v>18</v>
      </c>
      <c r="T4" s="50" t="s">
        <v>19</v>
      </c>
      <c r="U4" s="50" t="s">
        <v>20</v>
      </c>
      <c r="V4" s="50" t="s">
        <v>21</v>
      </c>
      <c r="W4" s="50" t="s">
        <v>22</v>
      </c>
      <c r="X4" s="50" t="s">
        <v>23</v>
      </c>
      <c r="Y4" s="50" t="s">
        <v>24</v>
      </c>
      <c r="Z4" s="50" t="s">
        <v>25</v>
      </c>
      <c r="AA4" s="50" t="s">
        <v>26</v>
      </c>
      <c r="AB4" s="50" t="s">
        <v>27</v>
      </c>
      <c r="AC4" s="50" t="s">
        <v>28</v>
      </c>
      <c r="AD4" s="50" t="s">
        <v>29</v>
      </c>
      <c r="AE4" s="50" t="s">
        <v>30</v>
      </c>
      <c r="AF4" s="50" t="s">
        <v>31</v>
      </c>
      <c r="AG4" s="50" t="s">
        <v>32</v>
      </c>
      <c r="AH4" s="51" t="s">
        <v>33</v>
      </c>
      <c r="AI4" s="50" t="s">
        <v>34</v>
      </c>
      <c r="AJ4" s="50" t="s">
        <v>35</v>
      </c>
    </row>
    <row r="5" spans="1:36" x14ac:dyDescent="0.25">
      <c r="A5" s="33" t="s">
        <v>248</v>
      </c>
      <c r="B5" s="11"/>
      <c r="C5" s="11"/>
      <c r="D5" s="11"/>
      <c r="E5" s="11"/>
      <c r="F5" s="11">
        <v>334128</v>
      </c>
      <c r="G5" s="11">
        <v>60931</v>
      </c>
      <c r="H5" s="11">
        <v>104628</v>
      </c>
      <c r="I5" s="11"/>
      <c r="J5" s="11">
        <v>7976</v>
      </c>
      <c r="K5" s="11">
        <v>36</v>
      </c>
      <c r="L5" s="11"/>
      <c r="M5" s="11">
        <v>86691</v>
      </c>
      <c r="N5" s="11">
        <v>6334</v>
      </c>
      <c r="O5" s="11">
        <v>298040</v>
      </c>
      <c r="P5" s="11">
        <v>311756</v>
      </c>
      <c r="Q5" s="11">
        <v>147074</v>
      </c>
      <c r="R5" s="11">
        <v>8559</v>
      </c>
      <c r="S5" s="11">
        <v>19051</v>
      </c>
      <c r="T5" s="11">
        <v>14792</v>
      </c>
      <c r="U5" s="11"/>
      <c r="V5" s="11">
        <v>278619.55699999997</v>
      </c>
      <c r="W5" s="11">
        <v>1211961</v>
      </c>
      <c r="X5" s="11">
        <v>383379</v>
      </c>
      <c r="Y5" s="11">
        <v>1308</v>
      </c>
      <c r="Z5" s="11">
        <v>222982</v>
      </c>
      <c r="AA5" s="11"/>
      <c r="AB5" s="11"/>
      <c r="AC5" s="11">
        <v>104502</v>
      </c>
      <c r="AD5" s="11">
        <v>351091</v>
      </c>
      <c r="AE5" s="11">
        <v>8641</v>
      </c>
      <c r="AF5" s="11"/>
      <c r="AG5" s="11">
        <v>264069</v>
      </c>
      <c r="AH5" s="39">
        <v>378532</v>
      </c>
      <c r="AI5" s="11">
        <v>33548</v>
      </c>
      <c r="AJ5" s="12">
        <f>SUM(B5:AI5)</f>
        <v>4638628.557</v>
      </c>
    </row>
    <row r="6" spans="1:36" x14ac:dyDescent="0.25">
      <c r="A6" s="33" t="s">
        <v>301</v>
      </c>
      <c r="B6" s="11"/>
      <c r="C6" s="11"/>
      <c r="D6" s="11"/>
      <c r="E6" s="11"/>
      <c r="F6" s="11">
        <v>12503</v>
      </c>
      <c r="G6" s="11">
        <v>7328</v>
      </c>
      <c r="H6" s="11">
        <v>1139</v>
      </c>
      <c r="I6" s="11"/>
      <c r="J6" s="11">
        <v>189</v>
      </c>
      <c r="K6" s="11">
        <v>1032</v>
      </c>
      <c r="L6" s="11"/>
      <c r="M6" s="11">
        <v>18807</v>
      </c>
      <c r="N6" s="11">
        <v>94526</v>
      </c>
      <c r="O6" s="11">
        <v>18681</v>
      </c>
      <c r="P6" s="11">
        <v>36955</v>
      </c>
      <c r="Q6" s="11">
        <v>11544</v>
      </c>
      <c r="R6" s="11">
        <v>292</v>
      </c>
      <c r="S6" s="11"/>
      <c r="T6" s="11">
        <v>15700</v>
      </c>
      <c r="U6" s="11"/>
      <c r="V6" s="11">
        <v>50780.087</v>
      </c>
      <c r="W6" s="11">
        <v>525815</v>
      </c>
      <c r="X6" s="11">
        <v>29887</v>
      </c>
      <c r="Y6" s="11">
        <v>60</v>
      </c>
      <c r="Z6" s="11">
        <v>4959</v>
      </c>
      <c r="AA6" s="11"/>
      <c r="AB6" s="11"/>
      <c r="AC6" s="11">
        <v>13806</v>
      </c>
      <c r="AD6" s="11"/>
      <c r="AE6" s="11">
        <v>1891</v>
      </c>
      <c r="AF6" s="11"/>
      <c r="AG6" s="11">
        <v>20113</v>
      </c>
      <c r="AH6" s="39">
        <v>129664</v>
      </c>
      <c r="AI6" s="11">
        <v>945</v>
      </c>
      <c r="AJ6" s="12">
        <f t="shared" ref="AJ6:AJ7" si="0">SUM(B6:AI6)</f>
        <v>996616.08700000006</v>
      </c>
    </row>
    <row r="7" spans="1:36" x14ac:dyDescent="0.25">
      <c r="A7" s="33" t="s">
        <v>302</v>
      </c>
      <c r="B7" s="11"/>
      <c r="C7" s="11"/>
      <c r="D7" s="11"/>
      <c r="E7" s="11"/>
      <c r="F7" s="11">
        <v>1462630</v>
      </c>
      <c r="G7" s="11">
        <v>108794</v>
      </c>
      <c r="H7" s="11">
        <v>104723</v>
      </c>
      <c r="I7" s="11"/>
      <c r="J7" s="11">
        <v>-17353</v>
      </c>
      <c r="K7" s="11">
        <v>3173</v>
      </c>
      <c r="L7" s="11"/>
      <c r="M7" s="11">
        <v>85104</v>
      </c>
      <c r="N7" s="11">
        <v>144291</v>
      </c>
      <c r="O7" s="11">
        <v>-412098</v>
      </c>
      <c r="P7" s="11">
        <v>481932</v>
      </c>
      <c r="Q7" s="11">
        <v>330133</v>
      </c>
      <c r="R7" s="11">
        <v>3052</v>
      </c>
      <c r="S7" s="11">
        <v>31956</v>
      </c>
      <c r="T7" s="11">
        <v>-45632</v>
      </c>
      <c r="U7" s="11"/>
      <c r="V7" s="11">
        <v>59685.269</v>
      </c>
      <c r="W7" s="11">
        <v>1002912</v>
      </c>
      <c r="X7" s="11">
        <v>178124</v>
      </c>
      <c r="Y7" s="11">
        <v>1437</v>
      </c>
      <c r="Z7" s="11">
        <v>333619</v>
      </c>
      <c r="AA7" s="11"/>
      <c r="AB7" s="11"/>
      <c r="AC7" s="11">
        <v>-103456</v>
      </c>
      <c r="AD7" s="11">
        <v>1226851</v>
      </c>
      <c r="AE7" s="11">
        <v>3060</v>
      </c>
      <c r="AF7" s="11"/>
      <c r="AG7" s="11">
        <v>1373686</v>
      </c>
      <c r="AH7" s="39">
        <v>154977</v>
      </c>
      <c r="AI7" s="11">
        <v>52113</v>
      </c>
      <c r="AJ7" s="12">
        <f t="shared" si="0"/>
        <v>6563713.2689999994</v>
      </c>
    </row>
    <row r="8" spans="1:36" x14ac:dyDescent="0.25">
      <c r="A8" s="33" t="s">
        <v>249</v>
      </c>
      <c r="B8" s="11"/>
      <c r="C8" s="11"/>
      <c r="D8" s="11"/>
      <c r="E8" s="11"/>
      <c r="F8" s="11">
        <v>-1115999</v>
      </c>
      <c r="G8" s="11">
        <v>-40535</v>
      </c>
      <c r="H8" s="11">
        <v>1044</v>
      </c>
      <c r="I8" s="11"/>
      <c r="J8" s="11">
        <v>-9188</v>
      </c>
      <c r="K8" s="11">
        <v>-2105</v>
      </c>
      <c r="L8" s="11"/>
      <c r="M8" s="11">
        <v>20395</v>
      </c>
      <c r="N8" s="11">
        <v>-43430</v>
      </c>
      <c r="O8" s="11">
        <v>-95377</v>
      </c>
      <c r="P8" s="11">
        <v>-133221</v>
      </c>
      <c r="Q8" s="11">
        <v>-171515</v>
      </c>
      <c r="R8" s="11">
        <v>5799</v>
      </c>
      <c r="S8" s="11">
        <v>-12905</v>
      </c>
      <c r="T8" s="11">
        <v>-15140</v>
      </c>
      <c r="U8" s="11"/>
      <c r="V8" s="11">
        <v>269714.375</v>
      </c>
      <c r="W8" s="11">
        <v>734864</v>
      </c>
      <c r="X8" s="11">
        <v>235142</v>
      </c>
      <c r="Y8" s="11">
        <v>-69</v>
      </c>
      <c r="Z8" s="11">
        <v>-105678</v>
      </c>
      <c r="AA8" s="11"/>
      <c r="AB8" s="11"/>
      <c r="AC8" s="11">
        <v>14852</v>
      </c>
      <c r="AD8" s="11">
        <v>-875760</v>
      </c>
      <c r="AE8" s="11">
        <v>7471</v>
      </c>
      <c r="AF8" s="11"/>
      <c r="AG8" s="11">
        <v>-1089504</v>
      </c>
      <c r="AH8" s="39">
        <v>353219</v>
      </c>
      <c r="AI8" s="11">
        <v>-17620</v>
      </c>
      <c r="AJ8" s="12">
        <f>SUM(B8:AI8)</f>
        <v>-2085545.625</v>
      </c>
    </row>
    <row r="9" spans="1:36" x14ac:dyDescent="0.25">
      <c r="A9" s="31"/>
    </row>
    <row r="10" spans="1:36" x14ac:dyDescent="0.25">
      <c r="A10" s="32" t="s">
        <v>240</v>
      </c>
    </row>
    <row r="11" spans="1:36" x14ac:dyDescent="0.25">
      <c r="A11" s="4" t="s">
        <v>0</v>
      </c>
      <c r="B11" s="50" t="s">
        <v>1</v>
      </c>
      <c r="C11" s="50" t="s">
        <v>2</v>
      </c>
      <c r="D11" s="50" t="s">
        <v>3</v>
      </c>
      <c r="E11" s="50" t="s">
        <v>4</v>
      </c>
      <c r="F11" s="50" t="s">
        <v>5</v>
      </c>
      <c r="G11" s="50" t="s">
        <v>6</v>
      </c>
      <c r="H11" s="50" t="s">
        <v>7</v>
      </c>
      <c r="I11" s="50" t="s">
        <v>8</v>
      </c>
      <c r="J11" s="50" t="s">
        <v>9</v>
      </c>
      <c r="K11" s="50" t="s">
        <v>10</v>
      </c>
      <c r="L11" s="50" t="s">
        <v>11</v>
      </c>
      <c r="M11" s="50" t="s">
        <v>12</v>
      </c>
      <c r="N11" s="50" t="s">
        <v>13</v>
      </c>
      <c r="O11" s="50" t="s">
        <v>14</v>
      </c>
      <c r="P11" s="50" t="s">
        <v>15</v>
      </c>
      <c r="Q11" s="50" t="s">
        <v>16</v>
      </c>
      <c r="R11" s="50" t="s">
        <v>17</v>
      </c>
      <c r="S11" s="50" t="s">
        <v>18</v>
      </c>
      <c r="T11" s="50" t="s">
        <v>19</v>
      </c>
      <c r="U11" s="50" t="s">
        <v>20</v>
      </c>
      <c r="V11" s="50" t="s">
        <v>21</v>
      </c>
      <c r="W11" s="50" t="s">
        <v>22</v>
      </c>
      <c r="X11" s="50" t="s">
        <v>23</v>
      </c>
      <c r="Y11" s="50" t="s">
        <v>24</v>
      </c>
      <c r="Z11" s="50" t="s">
        <v>25</v>
      </c>
      <c r="AA11" s="50" t="s">
        <v>26</v>
      </c>
      <c r="AB11" s="50" t="s">
        <v>27</v>
      </c>
      <c r="AC11" s="50" t="s">
        <v>28</v>
      </c>
      <c r="AD11" s="50" t="s">
        <v>29</v>
      </c>
      <c r="AE11" s="50" t="s">
        <v>30</v>
      </c>
      <c r="AF11" s="50" t="s">
        <v>31</v>
      </c>
      <c r="AG11" s="50" t="s">
        <v>32</v>
      </c>
      <c r="AH11" s="51" t="s">
        <v>33</v>
      </c>
      <c r="AI11" s="50" t="s">
        <v>34</v>
      </c>
      <c r="AJ11" s="50" t="s">
        <v>35</v>
      </c>
    </row>
    <row r="12" spans="1:36" x14ac:dyDescent="0.25">
      <c r="A12" s="33" t="s">
        <v>248</v>
      </c>
      <c r="B12" s="11"/>
      <c r="C12" s="11"/>
      <c r="D12" s="11"/>
      <c r="E12" s="11"/>
      <c r="F12" s="11">
        <v>73885</v>
      </c>
      <c r="G12" s="11">
        <v>29427</v>
      </c>
      <c r="H12" s="11">
        <v>16344</v>
      </c>
      <c r="I12" s="11"/>
      <c r="J12" s="11"/>
      <c r="K12" s="11">
        <v>37</v>
      </c>
      <c r="L12" s="11"/>
      <c r="M12" s="11">
        <v>30336</v>
      </c>
      <c r="N12" s="11"/>
      <c r="O12" s="11">
        <f>140+67173</f>
        <v>67313</v>
      </c>
      <c r="P12" s="11">
        <v>113534</v>
      </c>
      <c r="Q12" s="11">
        <v>32529</v>
      </c>
      <c r="R12" s="11"/>
      <c r="S12" s="11">
        <v>14988</v>
      </c>
      <c r="T12" s="11">
        <v>4720</v>
      </c>
      <c r="U12" s="11"/>
      <c r="V12" s="11">
        <v>52382.243000000002</v>
      </c>
      <c r="W12" s="11">
        <v>206598</v>
      </c>
      <c r="X12" s="11">
        <v>78725</v>
      </c>
      <c r="Y12" s="11">
        <v>-11</v>
      </c>
      <c r="Z12" s="11">
        <v>77236</v>
      </c>
      <c r="AA12" s="11"/>
      <c r="AB12" s="11"/>
      <c r="AC12" s="11">
        <v>17277</v>
      </c>
      <c r="AD12" s="11">
        <v>10354</v>
      </c>
      <c r="AE12" s="11">
        <v>499</v>
      </c>
      <c r="AF12" s="11"/>
      <c r="AG12" s="11">
        <v>162229</v>
      </c>
      <c r="AH12" s="39">
        <v>68425</v>
      </c>
      <c r="AI12" s="11">
        <v>3792</v>
      </c>
      <c r="AJ12" s="12">
        <f t="shared" ref="AJ12:AJ15" si="1">SUM(B12:AI12)</f>
        <v>1060619.243</v>
      </c>
    </row>
    <row r="13" spans="1:36" x14ac:dyDescent="0.25">
      <c r="A13" s="33" t="s">
        <v>301</v>
      </c>
      <c r="B13" s="11"/>
      <c r="C13" s="11"/>
      <c r="D13" s="11"/>
      <c r="E13" s="11"/>
      <c r="F13" s="11"/>
      <c r="G13" s="11">
        <v>292</v>
      </c>
      <c r="H13" s="11"/>
      <c r="I13" s="11"/>
      <c r="J13" s="11"/>
      <c r="K13" s="11"/>
      <c r="L13" s="11"/>
      <c r="M13" s="11">
        <v>421</v>
      </c>
      <c r="N13" s="11">
        <v>30</v>
      </c>
      <c r="O13" s="11">
        <v>2213</v>
      </c>
      <c r="P13" s="11">
        <v>14388</v>
      </c>
      <c r="Q13" s="11">
        <v>91</v>
      </c>
      <c r="R13" s="11"/>
      <c r="S13" s="11"/>
      <c r="T13" s="11">
        <v>2417</v>
      </c>
      <c r="U13" s="11"/>
      <c r="V13" s="11">
        <v>2382.5869999999995</v>
      </c>
      <c r="W13" s="11">
        <v>13873</v>
      </c>
      <c r="X13" s="11">
        <v>14797</v>
      </c>
      <c r="Y13" s="11"/>
      <c r="Z13" s="11"/>
      <c r="AA13" s="11"/>
      <c r="AB13" s="11"/>
      <c r="AC13" s="11">
        <v>4</v>
      </c>
      <c r="AD13" s="11"/>
      <c r="AE13" s="11"/>
      <c r="AF13" s="11"/>
      <c r="AG13" s="11">
        <v>1999</v>
      </c>
      <c r="AH13" s="39">
        <v>12545</v>
      </c>
      <c r="AI13" s="11"/>
      <c r="AJ13" s="12">
        <f t="shared" ref="AJ13:AJ14" si="2">SUM(B13:AI13)</f>
        <v>65452.587</v>
      </c>
    </row>
    <row r="14" spans="1:36" x14ac:dyDescent="0.25">
      <c r="A14" s="33" t="s">
        <v>302</v>
      </c>
      <c r="B14" s="11"/>
      <c r="C14" s="11"/>
      <c r="D14" s="11"/>
      <c r="E14" s="11"/>
      <c r="F14" s="11">
        <v>17877</v>
      </c>
      <c r="G14" s="11">
        <v>6117</v>
      </c>
      <c r="H14" s="11">
        <v>24802</v>
      </c>
      <c r="I14" s="11"/>
      <c r="J14" s="11"/>
      <c r="K14" s="11">
        <v>45</v>
      </c>
      <c r="L14" s="11"/>
      <c r="M14" s="11">
        <v>5008</v>
      </c>
      <c r="N14" s="11">
        <v>42</v>
      </c>
      <c r="O14" s="11">
        <f>2665-29178</f>
        <v>-26513</v>
      </c>
      <c r="P14" s="11">
        <v>19681</v>
      </c>
      <c r="Q14" s="11">
        <v>33769</v>
      </c>
      <c r="R14" s="11"/>
      <c r="S14" s="11">
        <v>660</v>
      </c>
      <c r="T14" s="11">
        <v>-7964</v>
      </c>
      <c r="U14" s="11"/>
      <c r="V14" s="11">
        <v>26399.584999999999</v>
      </c>
      <c r="W14" s="11">
        <v>48403</v>
      </c>
      <c r="X14" s="11">
        <v>31168</v>
      </c>
      <c r="Y14" s="11"/>
      <c r="Z14" s="11">
        <v>83441</v>
      </c>
      <c r="AA14" s="11"/>
      <c r="AB14" s="11"/>
      <c r="AC14" s="11">
        <v>-15010</v>
      </c>
      <c r="AD14" s="11">
        <v>762</v>
      </c>
      <c r="AE14" s="11">
        <v>140</v>
      </c>
      <c r="AF14" s="11"/>
      <c r="AG14" s="11">
        <v>9919</v>
      </c>
      <c r="AH14" s="39">
        <v>19426</v>
      </c>
      <c r="AI14" s="11">
        <f>1447+1330</f>
        <v>2777</v>
      </c>
      <c r="AJ14" s="12">
        <f t="shared" si="2"/>
        <v>280949.58499999996</v>
      </c>
    </row>
    <row r="15" spans="1:36" x14ac:dyDescent="0.25">
      <c r="A15" s="33" t="s">
        <v>249</v>
      </c>
      <c r="B15" s="11"/>
      <c r="C15" s="11"/>
      <c r="D15" s="11"/>
      <c r="E15" s="11"/>
      <c r="F15" s="11">
        <v>56008</v>
      </c>
      <c r="G15" s="11">
        <v>23602</v>
      </c>
      <c r="H15" s="11">
        <v>-8458</v>
      </c>
      <c r="I15" s="11"/>
      <c r="J15" s="11"/>
      <c r="K15" s="11">
        <v>-8</v>
      </c>
      <c r="L15" s="11"/>
      <c r="M15" s="11">
        <v>25748</v>
      </c>
      <c r="N15" s="11">
        <v>-12</v>
      </c>
      <c r="O15" s="11">
        <f>2804+40207</f>
        <v>43011</v>
      </c>
      <c r="P15" s="11">
        <v>108241</v>
      </c>
      <c r="Q15" s="11">
        <v>-1149</v>
      </c>
      <c r="R15" s="11"/>
      <c r="S15" s="11">
        <v>14328</v>
      </c>
      <c r="T15" s="11">
        <v>-827</v>
      </c>
      <c r="U15" s="11"/>
      <c r="V15" s="11">
        <v>28365.245000000003</v>
      </c>
      <c r="W15" s="11">
        <v>172068</v>
      </c>
      <c r="X15" s="11">
        <v>62354</v>
      </c>
      <c r="Y15" s="11">
        <v>-10</v>
      </c>
      <c r="Z15" s="11">
        <v>-6205</v>
      </c>
      <c r="AA15" s="11"/>
      <c r="AB15" s="11"/>
      <c r="AC15" s="11">
        <v>2271</v>
      </c>
      <c r="AD15" s="11">
        <v>9592</v>
      </c>
      <c r="AE15" s="11">
        <v>359</v>
      </c>
      <c r="AF15" s="11"/>
      <c r="AG15" s="11">
        <v>154309</v>
      </c>
      <c r="AH15" s="39">
        <v>61544</v>
      </c>
      <c r="AI15" s="11">
        <f>2345-1330</f>
        <v>1015</v>
      </c>
      <c r="AJ15" s="12">
        <f t="shared" si="1"/>
        <v>746146.245</v>
      </c>
    </row>
    <row r="16" spans="1:36" x14ac:dyDescent="0.25">
      <c r="A16" s="31"/>
    </row>
    <row r="17" spans="1:36" x14ac:dyDescent="0.25">
      <c r="A17" s="32" t="s">
        <v>241</v>
      </c>
    </row>
    <row r="18" spans="1:36" x14ac:dyDescent="0.25">
      <c r="A18" s="4" t="s">
        <v>0</v>
      </c>
      <c r="B18" s="50" t="s">
        <v>1</v>
      </c>
      <c r="C18" s="50" t="s">
        <v>2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8</v>
      </c>
      <c r="J18" s="50" t="s">
        <v>9</v>
      </c>
      <c r="K18" s="50" t="s">
        <v>10</v>
      </c>
      <c r="L18" s="50" t="s">
        <v>11</v>
      </c>
      <c r="M18" s="50" t="s">
        <v>12</v>
      </c>
      <c r="N18" s="50" t="s">
        <v>13</v>
      </c>
      <c r="O18" s="50" t="s">
        <v>14</v>
      </c>
      <c r="P18" s="50" t="s">
        <v>15</v>
      </c>
      <c r="Q18" s="50" t="s">
        <v>16</v>
      </c>
      <c r="R18" s="50" t="s">
        <v>17</v>
      </c>
      <c r="S18" s="50" t="s">
        <v>18</v>
      </c>
      <c r="T18" s="50" t="s">
        <v>19</v>
      </c>
      <c r="U18" s="50" t="s">
        <v>20</v>
      </c>
      <c r="V18" s="50" t="s">
        <v>21</v>
      </c>
      <c r="W18" s="50" t="s">
        <v>22</v>
      </c>
      <c r="X18" s="50" t="s">
        <v>23</v>
      </c>
      <c r="Y18" s="50" t="s">
        <v>24</v>
      </c>
      <c r="Z18" s="50" t="s">
        <v>25</v>
      </c>
      <c r="AA18" s="50" t="s">
        <v>26</v>
      </c>
      <c r="AB18" s="50" t="s">
        <v>27</v>
      </c>
      <c r="AC18" s="50" t="s">
        <v>28</v>
      </c>
      <c r="AD18" s="50" t="s">
        <v>29</v>
      </c>
      <c r="AE18" s="50" t="s">
        <v>30</v>
      </c>
      <c r="AF18" s="50" t="s">
        <v>31</v>
      </c>
      <c r="AG18" s="50" t="s">
        <v>32</v>
      </c>
      <c r="AH18" s="51" t="s">
        <v>33</v>
      </c>
      <c r="AI18" s="50" t="s">
        <v>34</v>
      </c>
      <c r="AJ18" s="50" t="s">
        <v>35</v>
      </c>
    </row>
    <row r="19" spans="1:36" x14ac:dyDescent="0.25">
      <c r="A19" s="33" t="s">
        <v>248</v>
      </c>
      <c r="B19" s="11">
        <v>7352</v>
      </c>
      <c r="C19" s="11"/>
      <c r="D19" s="11"/>
      <c r="E19" s="11"/>
      <c r="F19" s="11">
        <v>947674</v>
      </c>
      <c r="G19" s="11">
        <v>358044</v>
      </c>
      <c r="H19" s="11">
        <v>521311</v>
      </c>
      <c r="I19" s="11"/>
      <c r="J19" s="11">
        <v>13957</v>
      </c>
      <c r="K19" s="11">
        <v>2276</v>
      </c>
      <c r="L19" s="11"/>
      <c r="M19" s="11">
        <f>164142+20184</f>
        <v>184326</v>
      </c>
      <c r="N19" s="11">
        <v>102659</v>
      </c>
      <c r="O19" s="11">
        <v>734707</v>
      </c>
      <c r="P19" s="11">
        <v>1624045</v>
      </c>
      <c r="Q19" s="11">
        <v>878438</v>
      </c>
      <c r="R19" s="11">
        <v>43602</v>
      </c>
      <c r="S19" s="11">
        <f>1589+248740</f>
        <v>250329</v>
      </c>
      <c r="T19" s="11">
        <v>131224</v>
      </c>
      <c r="U19" s="11"/>
      <c r="V19" s="11">
        <v>1054510.6429999999</v>
      </c>
      <c r="W19" s="11">
        <v>2446585</v>
      </c>
      <c r="X19" s="11">
        <v>581227</v>
      </c>
      <c r="Y19" s="11">
        <v>793</v>
      </c>
      <c r="Z19" s="11">
        <v>714183</v>
      </c>
      <c r="AA19" s="11"/>
      <c r="AB19" s="11"/>
      <c r="AC19" s="11">
        <v>522620</v>
      </c>
      <c r="AD19" s="11">
        <v>275449</v>
      </c>
      <c r="AE19" s="11">
        <v>214699</v>
      </c>
      <c r="AF19" s="11"/>
      <c r="AG19" s="11">
        <v>897356</v>
      </c>
      <c r="AH19" s="39">
        <v>842140</v>
      </c>
      <c r="AI19" s="11">
        <f>154714+1183</f>
        <v>155897</v>
      </c>
      <c r="AJ19" s="12">
        <f>SUM(B19:AI19)</f>
        <v>13505403.642999999</v>
      </c>
    </row>
    <row r="20" spans="1:36" x14ac:dyDescent="0.25">
      <c r="A20" s="33" t="s">
        <v>301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v>531</v>
      </c>
      <c r="Q20" s="11"/>
      <c r="R20" s="11"/>
      <c r="S20" s="11"/>
      <c r="T20" s="11"/>
      <c r="U20" s="11"/>
      <c r="V20" s="11">
        <v>43.031999999999996</v>
      </c>
      <c r="W20" s="11">
        <v>-701</v>
      </c>
      <c r="X20" s="11">
        <v>119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2">
        <f t="shared" ref="AJ20:AJ21" si="3">SUM(B20:AI20)</f>
        <v>-7.9679999999999609</v>
      </c>
    </row>
    <row r="21" spans="1:36" x14ac:dyDescent="0.25">
      <c r="A21" s="33" t="s">
        <v>302</v>
      </c>
      <c r="B21" s="11">
        <v>25357</v>
      </c>
      <c r="C21" s="11"/>
      <c r="D21" s="11"/>
      <c r="E21" s="11"/>
      <c r="F21" s="11">
        <v>55801</v>
      </c>
      <c r="G21" s="11">
        <v>52636</v>
      </c>
      <c r="H21" s="11">
        <v>406929</v>
      </c>
      <c r="I21" s="11"/>
      <c r="J21" s="11">
        <v>-1005</v>
      </c>
      <c r="K21" s="11">
        <v>135</v>
      </c>
      <c r="L21" s="11"/>
      <c r="M21" s="11">
        <f>9087+1239</f>
        <v>10326</v>
      </c>
      <c r="N21" s="11">
        <v>23811</v>
      </c>
      <c r="O21" s="11">
        <f>-147668-234871</f>
        <v>-382539</v>
      </c>
      <c r="P21" s="11">
        <v>512225</v>
      </c>
      <c r="Q21" s="11">
        <v>43622</v>
      </c>
      <c r="R21" s="11">
        <v>2492</v>
      </c>
      <c r="S21" s="11">
        <f>9322+2114</f>
        <v>11436</v>
      </c>
      <c r="T21" s="11">
        <v>-206351</v>
      </c>
      <c r="U21" s="11"/>
      <c r="V21" s="11">
        <v>201453.88800000001</v>
      </c>
      <c r="W21" s="11">
        <v>86437</v>
      </c>
      <c r="X21" s="11">
        <v>43520</v>
      </c>
      <c r="Y21" s="11">
        <v>283</v>
      </c>
      <c r="Z21" s="11">
        <v>549503</v>
      </c>
      <c r="AA21" s="11"/>
      <c r="AB21" s="11"/>
      <c r="AC21" s="11">
        <v>-287795</v>
      </c>
      <c r="AD21" s="11">
        <v>85241</v>
      </c>
      <c r="AE21" s="11">
        <v>19682</v>
      </c>
      <c r="AF21" s="11"/>
      <c r="AG21" s="11">
        <v>465416</v>
      </c>
      <c r="AH21" s="39">
        <v>60364</v>
      </c>
      <c r="AI21" s="11">
        <f>5347+8783</f>
        <v>14130</v>
      </c>
      <c r="AJ21" s="12">
        <f t="shared" si="3"/>
        <v>1793109.888</v>
      </c>
    </row>
    <row r="22" spans="1:36" x14ac:dyDescent="0.25">
      <c r="A22" s="33" t="s">
        <v>249</v>
      </c>
      <c r="B22" s="11">
        <v>-18005</v>
      </c>
      <c r="C22" s="11"/>
      <c r="D22" s="11"/>
      <c r="E22" s="11"/>
      <c r="F22" s="11">
        <v>891873</v>
      </c>
      <c r="G22" s="11">
        <v>305408</v>
      </c>
      <c r="H22" s="11">
        <v>114382</v>
      </c>
      <c r="I22" s="11"/>
      <c r="J22" s="11">
        <v>12952</v>
      </c>
      <c r="K22" s="11">
        <v>2141</v>
      </c>
      <c r="L22" s="11"/>
      <c r="M22" s="11">
        <f>155056+18945</f>
        <v>174001</v>
      </c>
      <c r="N22" s="11">
        <v>78848</v>
      </c>
      <c r="O22" s="11">
        <v>352167</v>
      </c>
      <c r="P22" s="11">
        <v>1112351</v>
      </c>
      <c r="Q22" s="11">
        <v>834816</v>
      </c>
      <c r="R22" s="11">
        <v>41110</v>
      </c>
      <c r="S22" s="11">
        <f>-525+239418</f>
        <v>238893</v>
      </c>
      <c r="T22" s="11">
        <v>-75127</v>
      </c>
      <c r="U22" s="11"/>
      <c r="V22" s="11">
        <v>853099.78699999978</v>
      </c>
      <c r="W22" s="11">
        <v>2359448</v>
      </c>
      <c r="X22" s="11">
        <v>537826</v>
      </c>
      <c r="Y22" s="11">
        <v>510</v>
      </c>
      <c r="Z22" s="11">
        <v>164680</v>
      </c>
      <c r="AA22" s="11"/>
      <c r="AB22" s="11"/>
      <c r="AC22" s="11">
        <v>234825</v>
      </c>
      <c r="AD22" s="11">
        <v>190208</v>
      </c>
      <c r="AE22" s="11">
        <v>195017</v>
      </c>
      <c r="AF22" s="11"/>
      <c r="AG22" s="11">
        <v>431940</v>
      </c>
      <c r="AH22" s="39">
        <v>781776</v>
      </c>
      <c r="AI22" s="11">
        <f>149367-7600</f>
        <v>141767</v>
      </c>
      <c r="AJ22" s="12">
        <f>SUM(B22:AI22)</f>
        <v>9956906.7870000005</v>
      </c>
    </row>
    <row r="23" spans="1:36" x14ac:dyDescent="0.25">
      <c r="A23" s="31"/>
    </row>
    <row r="24" spans="1:36" x14ac:dyDescent="0.25">
      <c r="A24" s="32" t="s">
        <v>242</v>
      </c>
    </row>
    <row r="25" spans="1:36" x14ac:dyDescent="0.25">
      <c r="A25" s="4" t="s">
        <v>0</v>
      </c>
      <c r="B25" s="50" t="s">
        <v>1</v>
      </c>
      <c r="C25" s="50" t="s">
        <v>2</v>
      </c>
      <c r="D25" s="50" t="s">
        <v>3</v>
      </c>
      <c r="E25" s="50" t="s">
        <v>4</v>
      </c>
      <c r="F25" s="50" t="s">
        <v>5</v>
      </c>
      <c r="G25" s="50" t="s">
        <v>6</v>
      </c>
      <c r="H25" s="50" t="s">
        <v>7</v>
      </c>
      <c r="I25" s="50" t="s">
        <v>8</v>
      </c>
      <c r="J25" s="50" t="s">
        <v>9</v>
      </c>
      <c r="K25" s="50" t="s">
        <v>10</v>
      </c>
      <c r="L25" s="50" t="s">
        <v>11</v>
      </c>
      <c r="M25" s="50" t="s">
        <v>12</v>
      </c>
      <c r="N25" s="50" t="s">
        <v>13</v>
      </c>
      <c r="O25" s="50" t="s">
        <v>14</v>
      </c>
      <c r="P25" s="50" t="s">
        <v>15</v>
      </c>
      <c r="Q25" s="50" t="s">
        <v>16</v>
      </c>
      <c r="R25" s="50" t="s">
        <v>17</v>
      </c>
      <c r="S25" s="50" t="s">
        <v>18</v>
      </c>
      <c r="T25" s="50" t="s">
        <v>19</v>
      </c>
      <c r="U25" s="50" t="s">
        <v>20</v>
      </c>
      <c r="V25" s="50" t="s">
        <v>21</v>
      </c>
      <c r="W25" s="50" t="s">
        <v>22</v>
      </c>
      <c r="X25" s="50" t="s">
        <v>23</v>
      </c>
      <c r="Y25" s="50" t="s">
        <v>24</v>
      </c>
      <c r="Z25" s="50" t="s">
        <v>25</v>
      </c>
      <c r="AA25" s="50" t="s">
        <v>26</v>
      </c>
      <c r="AB25" s="50" t="s">
        <v>27</v>
      </c>
      <c r="AC25" s="50" t="s">
        <v>28</v>
      </c>
      <c r="AD25" s="50" t="s">
        <v>29</v>
      </c>
      <c r="AE25" s="50" t="s">
        <v>30</v>
      </c>
      <c r="AF25" s="50" t="s">
        <v>31</v>
      </c>
      <c r="AG25" s="50" t="s">
        <v>32</v>
      </c>
      <c r="AH25" s="51" t="s">
        <v>33</v>
      </c>
      <c r="AI25" s="50" t="s">
        <v>34</v>
      </c>
      <c r="AJ25" s="50" t="s">
        <v>35</v>
      </c>
    </row>
    <row r="26" spans="1:36" x14ac:dyDescent="0.25">
      <c r="A26" s="33" t="s">
        <v>248</v>
      </c>
      <c r="B26" s="11"/>
      <c r="C26" s="11"/>
      <c r="D26" s="11"/>
      <c r="E26" s="11"/>
      <c r="F26" s="11">
        <v>41418</v>
      </c>
      <c r="G26" s="11">
        <v>8158</v>
      </c>
      <c r="H26" s="11">
        <v>7694</v>
      </c>
      <c r="I26" s="11"/>
      <c r="J26" s="11"/>
      <c r="K26" s="11"/>
      <c r="L26" s="11"/>
      <c r="M26" s="11">
        <v>15405</v>
      </c>
      <c r="N26" s="11">
        <v>951</v>
      </c>
      <c r="O26" s="11">
        <v>35323</v>
      </c>
      <c r="P26" s="11">
        <v>74560</v>
      </c>
      <c r="Q26" s="11">
        <v>28632</v>
      </c>
      <c r="R26" s="11">
        <v>1359</v>
      </c>
      <c r="S26" s="11">
        <v>8258</v>
      </c>
      <c r="T26" s="11">
        <v>920</v>
      </c>
      <c r="U26" s="11"/>
      <c r="V26" s="11">
        <v>63458.853000000003</v>
      </c>
      <c r="W26" s="11">
        <v>147835</v>
      </c>
      <c r="X26" s="11">
        <v>45370</v>
      </c>
      <c r="Y26" s="11">
        <v>224</v>
      </c>
      <c r="Z26" s="11">
        <v>32038</v>
      </c>
      <c r="AA26" s="11"/>
      <c r="AB26" s="11"/>
      <c r="AC26" s="11">
        <v>19599</v>
      </c>
      <c r="AD26" s="11">
        <v>7007</v>
      </c>
      <c r="AE26" s="11">
        <v>3742</v>
      </c>
      <c r="AF26" s="11"/>
      <c r="AG26" s="11">
        <v>19586</v>
      </c>
      <c r="AH26" s="39">
        <v>63983</v>
      </c>
      <c r="AI26" s="11">
        <v>1509</v>
      </c>
      <c r="AJ26" s="12">
        <f t="shared" ref="AJ26:AJ29" si="4">SUM(B26:AI26)</f>
        <v>627029.853</v>
      </c>
    </row>
    <row r="27" spans="1:36" x14ac:dyDescent="0.25">
      <c r="A27" s="33" t="s">
        <v>301</v>
      </c>
      <c r="B27" s="11"/>
      <c r="C27" s="11"/>
      <c r="D27" s="11"/>
      <c r="E27" s="11"/>
      <c r="F27" s="11">
        <v>2658</v>
      </c>
      <c r="G27" s="11">
        <v>61</v>
      </c>
      <c r="H27" s="11">
        <v>115</v>
      </c>
      <c r="I27" s="11"/>
      <c r="J27" s="11"/>
      <c r="K27" s="11">
        <v>263</v>
      </c>
      <c r="L27" s="11"/>
      <c r="M27" s="11">
        <v>765</v>
      </c>
      <c r="N27" s="11">
        <v>1043</v>
      </c>
      <c r="O27" s="11">
        <v>2481</v>
      </c>
      <c r="P27" s="11">
        <v>21393</v>
      </c>
      <c r="Q27" s="11">
        <v>92</v>
      </c>
      <c r="R27" s="11">
        <v>29</v>
      </c>
      <c r="S27" s="11"/>
      <c r="T27" s="11">
        <v>424</v>
      </c>
      <c r="U27" s="11"/>
      <c r="V27" s="11">
        <v>16534.349999999999</v>
      </c>
      <c r="W27" s="11">
        <v>35300</v>
      </c>
      <c r="X27" s="11">
        <v>14529</v>
      </c>
      <c r="Y27" s="11"/>
      <c r="Z27" s="11">
        <v>940</v>
      </c>
      <c r="AA27" s="11"/>
      <c r="AB27" s="11"/>
      <c r="AC27" s="11">
        <v>712</v>
      </c>
      <c r="AD27" s="11"/>
      <c r="AE27" s="11">
        <v>389</v>
      </c>
      <c r="AF27" s="11"/>
      <c r="AG27" s="11">
        <v>664</v>
      </c>
      <c r="AH27" s="39">
        <v>27143</v>
      </c>
      <c r="AI27" s="11">
        <v>195</v>
      </c>
      <c r="AJ27" s="12">
        <f t="shared" ref="AJ27:AJ28" si="5">SUM(B27:AI27)</f>
        <v>125730.35</v>
      </c>
    </row>
    <row r="28" spans="1:36" x14ac:dyDescent="0.25">
      <c r="A28" s="33" t="s">
        <v>302</v>
      </c>
      <c r="B28" s="11"/>
      <c r="C28" s="11"/>
      <c r="D28" s="11"/>
      <c r="E28" s="11"/>
      <c r="F28" s="11">
        <v>56099</v>
      </c>
      <c r="G28" s="11">
        <v>15163</v>
      </c>
      <c r="H28" s="11">
        <v>7397</v>
      </c>
      <c r="I28" s="11"/>
      <c r="J28" s="11"/>
      <c r="K28" s="11">
        <v>68</v>
      </c>
      <c r="L28" s="11"/>
      <c r="M28" s="11">
        <v>20481</v>
      </c>
      <c r="N28" s="11">
        <v>2347</v>
      </c>
      <c r="O28" s="11">
        <v>-77213</v>
      </c>
      <c r="P28" s="11">
        <v>126323</v>
      </c>
      <c r="Q28" s="11">
        <v>24039</v>
      </c>
      <c r="R28" s="11">
        <v>1156</v>
      </c>
      <c r="S28" s="11">
        <v>8897</v>
      </c>
      <c r="T28" s="11">
        <v>-1256</v>
      </c>
      <c r="U28" s="11"/>
      <c r="V28" s="11">
        <v>24122.441999999999</v>
      </c>
      <c r="W28" s="11">
        <v>85309</v>
      </c>
      <c r="X28" s="11">
        <v>27320</v>
      </c>
      <c r="Y28" s="11">
        <v>227</v>
      </c>
      <c r="Z28" s="11">
        <v>7255</v>
      </c>
      <c r="AA28" s="11"/>
      <c r="AB28" s="11"/>
      <c r="AC28" s="11">
        <v>-36547</v>
      </c>
      <c r="AD28" s="11">
        <v>10536</v>
      </c>
      <c r="AE28" s="11">
        <v>3002</v>
      </c>
      <c r="AF28" s="11"/>
      <c r="AG28" s="11">
        <v>31830</v>
      </c>
      <c r="AH28" s="39">
        <v>35605</v>
      </c>
      <c r="AI28" s="11">
        <v>4920</v>
      </c>
      <c r="AJ28" s="12">
        <f t="shared" si="5"/>
        <v>377080.44200000004</v>
      </c>
    </row>
    <row r="29" spans="1:36" x14ac:dyDescent="0.25">
      <c r="A29" s="33" t="s">
        <v>249</v>
      </c>
      <c r="B29" s="11"/>
      <c r="C29" s="11"/>
      <c r="D29" s="11"/>
      <c r="E29" s="11"/>
      <c r="F29" s="11">
        <v>-12023</v>
      </c>
      <c r="G29" s="11">
        <v>-6944</v>
      </c>
      <c r="H29" s="11">
        <v>412</v>
      </c>
      <c r="I29" s="11"/>
      <c r="J29" s="11">
        <v>39</v>
      </c>
      <c r="K29" s="11">
        <v>195</v>
      </c>
      <c r="L29" s="11"/>
      <c r="M29" s="11">
        <v>-4311</v>
      </c>
      <c r="N29" s="11">
        <v>-354</v>
      </c>
      <c r="O29" s="11">
        <v>-39409</v>
      </c>
      <c r="P29" s="11">
        <v>-30370</v>
      </c>
      <c r="Q29" s="11">
        <v>4685</v>
      </c>
      <c r="R29" s="11">
        <v>232</v>
      </c>
      <c r="S29" s="11">
        <v>-640</v>
      </c>
      <c r="T29" s="11">
        <v>88</v>
      </c>
      <c r="U29" s="11"/>
      <c r="V29" s="11">
        <v>55870.761000000013</v>
      </c>
      <c r="W29" s="11">
        <v>97827</v>
      </c>
      <c r="X29" s="11">
        <v>32579</v>
      </c>
      <c r="Y29" s="11">
        <v>-3</v>
      </c>
      <c r="Z29" s="11">
        <v>25723</v>
      </c>
      <c r="AA29" s="11"/>
      <c r="AB29" s="11"/>
      <c r="AC29" s="11">
        <v>-16236</v>
      </c>
      <c r="AD29" s="11">
        <v>-3529</v>
      </c>
      <c r="AE29" s="11">
        <v>1129</v>
      </c>
      <c r="AF29" s="11"/>
      <c r="AG29" s="11">
        <v>-11580</v>
      </c>
      <c r="AH29" s="39">
        <v>55521</v>
      </c>
      <c r="AI29" s="11">
        <v>-3216</v>
      </c>
      <c r="AJ29" s="12">
        <f t="shared" si="4"/>
        <v>145685.761</v>
      </c>
    </row>
    <row r="30" spans="1:36" x14ac:dyDescent="0.25">
      <c r="A30" s="31"/>
    </row>
    <row r="31" spans="1:36" x14ac:dyDescent="0.25">
      <c r="A31" s="32" t="s">
        <v>243</v>
      </c>
    </row>
    <row r="32" spans="1:36" x14ac:dyDescent="0.25">
      <c r="A32" s="4" t="s">
        <v>0</v>
      </c>
      <c r="B32" s="50" t="s">
        <v>1</v>
      </c>
      <c r="C32" s="50" t="s">
        <v>2</v>
      </c>
      <c r="D32" s="50" t="s">
        <v>3</v>
      </c>
      <c r="E32" s="50" t="s">
        <v>4</v>
      </c>
      <c r="F32" s="50" t="s">
        <v>5</v>
      </c>
      <c r="G32" s="50" t="s">
        <v>6</v>
      </c>
      <c r="H32" s="50" t="s">
        <v>7</v>
      </c>
      <c r="I32" s="50" t="s">
        <v>8</v>
      </c>
      <c r="J32" s="50" t="s">
        <v>9</v>
      </c>
      <c r="K32" s="50" t="s">
        <v>10</v>
      </c>
      <c r="L32" s="50" t="s">
        <v>11</v>
      </c>
      <c r="M32" s="50" t="s">
        <v>12</v>
      </c>
      <c r="N32" s="50" t="s">
        <v>13</v>
      </c>
      <c r="O32" s="50" t="s">
        <v>14</v>
      </c>
      <c r="P32" s="50" t="s">
        <v>15</v>
      </c>
      <c r="Q32" s="50" t="s">
        <v>16</v>
      </c>
      <c r="R32" s="50" t="s">
        <v>17</v>
      </c>
      <c r="S32" s="50" t="s">
        <v>18</v>
      </c>
      <c r="T32" s="50" t="s">
        <v>19</v>
      </c>
      <c r="U32" s="50" t="s">
        <v>20</v>
      </c>
      <c r="V32" s="50" t="s">
        <v>21</v>
      </c>
      <c r="W32" s="50" t="s">
        <v>22</v>
      </c>
      <c r="X32" s="50" t="s">
        <v>23</v>
      </c>
      <c r="Y32" s="50" t="s">
        <v>24</v>
      </c>
      <c r="Z32" s="50" t="s">
        <v>25</v>
      </c>
      <c r="AA32" s="50" t="s">
        <v>26</v>
      </c>
      <c r="AB32" s="50" t="s">
        <v>27</v>
      </c>
      <c r="AC32" s="50" t="s">
        <v>28</v>
      </c>
      <c r="AD32" s="50" t="s">
        <v>29</v>
      </c>
      <c r="AE32" s="50" t="s">
        <v>30</v>
      </c>
      <c r="AF32" s="50" t="s">
        <v>31</v>
      </c>
      <c r="AG32" s="50" t="s">
        <v>32</v>
      </c>
      <c r="AH32" s="51" t="s">
        <v>33</v>
      </c>
      <c r="AI32" s="50" t="s">
        <v>34</v>
      </c>
      <c r="AJ32" s="50" t="s">
        <v>35</v>
      </c>
    </row>
    <row r="33" spans="1:36" x14ac:dyDescent="0.25">
      <c r="A33" s="33" t="s">
        <v>248</v>
      </c>
      <c r="B33" s="11">
        <v>2</v>
      </c>
      <c r="C33" s="11">
        <v>156752</v>
      </c>
      <c r="D33" s="11"/>
      <c r="E33" s="11">
        <v>475055</v>
      </c>
      <c r="F33" s="11">
        <v>404253</v>
      </c>
      <c r="G33" s="11">
        <v>103000</v>
      </c>
      <c r="H33" s="11">
        <v>102292</v>
      </c>
      <c r="I33" s="11">
        <v>157177</v>
      </c>
      <c r="J33" s="11">
        <v>8166</v>
      </c>
      <c r="K33" s="11">
        <v>3305</v>
      </c>
      <c r="L33" s="11"/>
      <c r="M33" s="11">
        <v>47067</v>
      </c>
      <c r="N33" s="11">
        <v>824</v>
      </c>
      <c r="O33" s="11">
        <v>357892</v>
      </c>
      <c r="P33" s="11">
        <v>587191</v>
      </c>
      <c r="Q33" s="11">
        <v>203713</v>
      </c>
      <c r="R33" s="11">
        <v>19421</v>
      </c>
      <c r="S33" s="11">
        <v>59551</v>
      </c>
      <c r="T33" s="11">
        <v>15653</v>
      </c>
      <c r="U33" s="11">
        <v>281331</v>
      </c>
      <c r="V33" s="11">
        <v>646451.26800000004</v>
      </c>
      <c r="W33" s="11">
        <v>1444237</v>
      </c>
      <c r="X33" s="11">
        <v>556086</v>
      </c>
      <c r="Y33" s="11">
        <v>26</v>
      </c>
      <c r="Z33" s="11">
        <v>206169</v>
      </c>
      <c r="AA33" s="11">
        <v>2369</v>
      </c>
      <c r="AB33" s="11">
        <v>450455</v>
      </c>
      <c r="AC33" s="11">
        <v>89932</v>
      </c>
      <c r="AD33" s="11">
        <v>185572</v>
      </c>
      <c r="AE33" s="11">
        <v>195</v>
      </c>
      <c r="AF33" s="11"/>
      <c r="AG33" s="11">
        <v>203120</v>
      </c>
      <c r="AH33" s="39">
        <v>343730</v>
      </c>
      <c r="AI33" s="11">
        <v>49940</v>
      </c>
      <c r="AJ33" s="12">
        <f t="shared" ref="AJ33:AJ36" si="6">SUM(B33:AI33)</f>
        <v>7160927.2680000002</v>
      </c>
    </row>
    <row r="34" spans="1:36" x14ac:dyDescent="0.25">
      <c r="A34" s="33" t="s">
        <v>301</v>
      </c>
      <c r="B34" s="11"/>
      <c r="C34" s="11"/>
      <c r="D34" s="11"/>
      <c r="E34" s="11"/>
      <c r="F34" s="11"/>
      <c r="G34" s="11"/>
      <c r="H34" s="11"/>
      <c r="I34" s="11"/>
      <c r="J34" s="11"/>
      <c r="K34" s="11">
        <v>54</v>
      </c>
      <c r="L34" s="11"/>
      <c r="M34" s="11"/>
      <c r="N34" s="11"/>
      <c r="O34" s="11">
        <v>0</v>
      </c>
      <c r="P34" s="11">
        <v>30627</v>
      </c>
      <c r="Q34" s="11"/>
      <c r="R34" s="11"/>
      <c r="S34" s="11"/>
      <c r="T34" s="11"/>
      <c r="U34" s="11"/>
      <c r="V34" s="11">
        <v>0</v>
      </c>
      <c r="W34" s="11">
        <v>0</v>
      </c>
      <c r="X34" s="11">
        <v>13261</v>
      </c>
      <c r="Y34" s="11"/>
      <c r="Z34" s="11"/>
      <c r="AA34" s="11"/>
      <c r="AB34" s="11">
        <v>1127</v>
      </c>
      <c r="AC34" s="11"/>
      <c r="AD34" s="11"/>
      <c r="AE34" s="11"/>
      <c r="AF34" s="11"/>
      <c r="AG34" s="11"/>
      <c r="AH34" s="11"/>
      <c r="AI34" s="11"/>
      <c r="AJ34" s="12">
        <f t="shared" ref="AJ34:AJ35" si="7">SUM(B34:AI34)</f>
        <v>45069</v>
      </c>
    </row>
    <row r="35" spans="1:36" x14ac:dyDescent="0.25">
      <c r="A35" s="33" t="s">
        <v>302</v>
      </c>
      <c r="B35" s="11">
        <v>866</v>
      </c>
      <c r="C35" s="11">
        <v>7290</v>
      </c>
      <c r="D35" s="11"/>
      <c r="E35" s="11"/>
      <c r="F35" s="11">
        <v>256449</v>
      </c>
      <c r="G35" s="11">
        <v>78915</v>
      </c>
      <c r="H35" s="11">
        <v>87421</v>
      </c>
      <c r="I35" s="11">
        <v>7813</v>
      </c>
      <c r="J35" s="11">
        <v>-10990</v>
      </c>
      <c r="K35" s="11">
        <v>49458</v>
      </c>
      <c r="L35" s="11"/>
      <c r="M35" s="11">
        <v>30547</v>
      </c>
      <c r="N35" s="11">
        <v>438</v>
      </c>
      <c r="O35" s="11">
        <v>-785931</v>
      </c>
      <c r="P35" s="11">
        <v>1236710</v>
      </c>
      <c r="Q35" s="11">
        <v>32139</v>
      </c>
      <c r="R35" s="11">
        <v>2847</v>
      </c>
      <c r="S35" s="11">
        <v>4530</v>
      </c>
      <c r="T35" s="11">
        <v>-35827</v>
      </c>
      <c r="U35" s="11">
        <v>345655</v>
      </c>
      <c r="V35" s="11">
        <v>90159.619000000006</v>
      </c>
      <c r="W35" s="11">
        <v>251033</v>
      </c>
      <c r="X35" s="11">
        <v>40069</v>
      </c>
      <c r="Y35" s="11">
        <v>3</v>
      </c>
      <c r="Z35" s="11">
        <v>174528</v>
      </c>
      <c r="AA35" s="11">
        <v>5607</v>
      </c>
      <c r="AB35" s="11">
        <v>631860</v>
      </c>
      <c r="AC35" s="11"/>
      <c r="AD35" s="11">
        <v>9978</v>
      </c>
      <c r="AE35" s="11">
        <v>19</v>
      </c>
      <c r="AF35" s="11"/>
      <c r="AG35" s="11">
        <v>519501</v>
      </c>
      <c r="AH35" s="39">
        <v>60050</v>
      </c>
      <c r="AI35" s="11">
        <v>3671</v>
      </c>
      <c r="AJ35" s="12">
        <f t="shared" si="7"/>
        <v>3094808.6189999999</v>
      </c>
    </row>
    <row r="36" spans="1:36" x14ac:dyDescent="0.25">
      <c r="A36" s="33" t="s">
        <v>249</v>
      </c>
      <c r="B36" s="11">
        <v>-864</v>
      </c>
      <c r="C36" s="11">
        <v>149462</v>
      </c>
      <c r="D36" s="11"/>
      <c r="E36" s="11">
        <v>94740</v>
      </c>
      <c r="F36" s="11">
        <v>147804</v>
      </c>
      <c r="G36" s="11">
        <v>24084</v>
      </c>
      <c r="H36" s="11">
        <v>14871</v>
      </c>
      <c r="I36" s="11">
        <v>149364</v>
      </c>
      <c r="J36" s="11">
        <v>-2824</v>
      </c>
      <c r="K36" s="11">
        <v>-46099</v>
      </c>
      <c r="L36" s="11"/>
      <c r="M36" s="11">
        <v>16521</v>
      </c>
      <c r="N36" s="11">
        <v>386</v>
      </c>
      <c r="O36" s="11">
        <v>-428038</v>
      </c>
      <c r="P36" s="11">
        <v>-618892</v>
      </c>
      <c r="Q36" s="11">
        <v>171574</v>
      </c>
      <c r="R36" s="11">
        <v>16574</v>
      </c>
      <c r="S36" s="11">
        <v>55021</v>
      </c>
      <c r="T36" s="11">
        <v>-20174</v>
      </c>
      <c r="U36" s="11">
        <v>-64324</v>
      </c>
      <c r="V36" s="11">
        <v>556291.64899999998</v>
      </c>
      <c r="W36" s="11">
        <v>1193205</v>
      </c>
      <c r="X36" s="11">
        <v>529278</v>
      </c>
      <c r="Y36" s="11">
        <v>23</v>
      </c>
      <c r="Z36" s="11">
        <v>31641</v>
      </c>
      <c r="AA36" s="11">
        <v>-3238</v>
      </c>
      <c r="AB36" s="11">
        <v>-180278</v>
      </c>
      <c r="AC36" s="11">
        <v>30725</v>
      </c>
      <c r="AD36" s="11">
        <v>175594</v>
      </c>
      <c r="AE36" s="11">
        <v>176</v>
      </c>
      <c r="AF36" s="11"/>
      <c r="AG36" s="11">
        <v>-316381</v>
      </c>
      <c r="AH36" s="39">
        <v>283680</v>
      </c>
      <c r="AI36" s="11">
        <v>46269</v>
      </c>
      <c r="AJ36" s="12">
        <f t="shared" si="6"/>
        <v>2006171.649</v>
      </c>
    </row>
    <row r="37" spans="1:36" x14ac:dyDescent="0.25">
      <c r="A37" s="31"/>
    </row>
    <row r="38" spans="1:36" x14ac:dyDescent="0.25">
      <c r="A38" s="32" t="s">
        <v>244</v>
      </c>
    </row>
    <row r="39" spans="1:36" x14ac:dyDescent="0.25">
      <c r="A39" s="4" t="s">
        <v>0</v>
      </c>
      <c r="B39" s="50" t="s">
        <v>1</v>
      </c>
      <c r="C39" s="50" t="s">
        <v>2</v>
      </c>
      <c r="D39" s="50" t="s">
        <v>3</v>
      </c>
      <c r="E39" s="50" t="s">
        <v>4</v>
      </c>
      <c r="F39" s="50" t="s">
        <v>5</v>
      </c>
      <c r="G39" s="50" t="s">
        <v>6</v>
      </c>
      <c r="H39" s="50" t="s">
        <v>7</v>
      </c>
      <c r="I39" s="50" t="s">
        <v>8</v>
      </c>
      <c r="J39" s="50" t="s">
        <v>9</v>
      </c>
      <c r="K39" s="50" t="s">
        <v>10</v>
      </c>
      <c r="L39" s="50" t="s">
        <v>11</v>
      </c>
      <c r="M39" s="50" t="s">
        <v>12</v>
      </c>
      <c r="N39" s="50" t="s">
        <v>13</v>
      </c>
      <c r="O39" s="50" t="s">
        <v>14</v>
      </c>
      <c r="P39" s="50" t="s">
        <v>15</v>
      </c>
      <c r="Q39" s="50" t="s">
        <v>16</v>
      </c>
      <c r="R39" s="50" t="s">
        <v>17</v>
      </c>
      <c r="S39" s="50" t="s">
        <v>18</v>
      </c>
      <c r="T39" s="50" t="s">
        <v>19</v>
      </c>
      <c r="U39" s="50" t="s">
        <v>20</v>
      </c>
      <c r="V39" s="50" t="s">
        <v>21</v>
      </c>
      <c r="W39" s="50" t="s">
        <v>22</v>
      </c>
      <c r="X39" s="50" t="s">
        <v>23</v>
      </c>
      <c r="Y39" s="50" t="s">
        <v>24</v>
      </c>
      <c r="Z39" s="50" t="s">
        <v>25</v>
      </c>
      <c r="AA39" s="50" t="s">
        <v>26</v>
      </c>
      <c r="AB39" s="50" t="s">
        <v>27</v>
      </c>
      <c r="AC39" s="50" t="s">
        <v>28</v>
      </c>
      <c r="AD39" s="50" t="s">
        <v>29</v>
      </c>
      <c r="AE39" s="50" t="s">
        <v>30</v>
      </c>
      <c r="AF39" s="50" t="s">
        <v>31</v>
      </c>
      <c r="AG39" s="50" t="s">
        <v>32</v>
      </c>
      <c r="AH39" s="51" t="s">
        <v>33</v>
      </c>
      <c r="AI39" s="50" t="s">
        <v>34</v>
      </c>
      <c r="AJ39" s="50" t="s">
        <v>35</v>
      </c>
    </row>
    <row r="40" spans="1:36" x14ac:dyDescent="0.25">
      <c r="A40" s="33" t="s">
        <v>248</v>
      </c>
      <c r="B40" s="11"/>
      <c r="C40" s="11">
        <v>10857</v>
      </c>
      <c r="D40" s="11"/>
      <c r="E40" s="11">
        <v>21340</v>
      </c>
      <c r="F40" s="11">
        <v>73188</v>
      </c>
      <c r="G40" s="11">
        <v>4205</v>
      </c>
      <c r="H40" s="11">
        <v>133778</v>
      </c>
      <c r="I40" s="11">
        <v>2923</v>
      </c>
      <c r="J40" s="11">
        <v>1497</v>
      </c>
      <c r="K40" s="11">
        <v>11</v>
      </c>
      <c r="L40" s="11"/>
      <c r="M40" s="11">
        <v>18050</v>
      </c>
      <c r="N40" s="11">
        <v>-329</v>
      </c>
      <c r="O40" s="11">
        <v>187741</v>
      </c>
      <c r="P40" s="11">
        <v>138820</v>
      </c>
      <c r="Q40" s="11">
        <v>26683</v>
      </c>
      <c r="R40" s="11">
        <v>3479</v>
      </c>
      <c r="S40" s="11">
        <v>5546</v>
      </c>
      <c r="T40" s="11">
        <v>800</v>
      </c>
      <c r="U40" s="11">
        <v>14595</v>
      </c>
      <c r="V40" s="11">
        <v>18955.062999999998</v>
      </c>
      <c r="W40" s="11">
        <v>110857</v>
      </c>
      <c r="X40" s="11">
        <v>32635</v>
      </c>
      <c r="Y40" s="11">
        <v>21</v>
      </c>
      <c r="Z40" s="11">
        <v>16306</v>
      </c>
      <c r="AA40" s="11"/>
      <c r="AB40" s="11">
        <v>44042</v>
      </c>
      <c r="AC40" s="11">
        <v>16677</v>
      </c>
      <c r="AD40" s="11">
        <v>129547</v>
      </c>
      <c r="AE40" s="11">
        <v>1203</v>
      </c>
      <c r="AF40" s="11"/>
      <c r="AG40" s="11">
        <v>22086</v>
      </c>
      <c r="AH40" s="39">
        <v>58834</v>
      </c>
      <c r="AI40" s="11">
        <v>22369</v>
      </c>
      <c r="AJ40" s="12">
        <f t="shared" ref="AJ40:AJ43" si="8">SUM(B40:AI40)</f>
        <v>1116716.0630000001</v>
      </c>
    </row>
    <row r="41" spans="1:36" x14ac:dyDescent="0.25">
      <c r="A41" s="33" t="s">
        <v>301</v>
      </c>
      <c r="B41" s="11"/>
      <c r="C41" s="11"/>
      <c r="D41" s="11"/>
      <c r="E41" s="11"/>
      <c r="F41" s="11"/>
      <c r="G41" s="11"/>
      <c r="H41" s="11"/>
      <c r="I41" s="11"/>
      <c r="J41" s="11"/>
      <c r="K41" s="11">
        <v>640</v>
      </c>
      <c r="L41" s="11"/>
      <c r="M41" s="11"/>
      <c r="N41" s="11"/>
      <c r="O41" s="11">
        <v>0</v>
      </c>
      <c r="P41" s="11">
        <v>745</v>
      </c>
      <c r="Q41" s="11"/>
      <c r="R41" s="11"/>
      <c r="S41" s="11"/>
      <c r="T41" s="11">
        <v>292</v>
      </c>
      <c r="U41" s="11"/>
      <c r="V41" s="11">
        <v>0</v>
      </c>
      <c r="W41" s="11">
        <v>4950</v>
      </c>
      <c r="X41" s="11">
        <v>3</v>
      </c>
      <c r="Y41" s="11"/>
      <c r="Z41" s="11"/>
      <c r="AA41" s="11"/>
      <c r="AB41" s="11">
        <v>5</v>
      </c>
      <c r="AC41" s="11">
        <v>489</v>
      </c>
      <c r="AD41" s="11"/>
      <c r="AE41" s="11"/>
      <c r="AF41" s="11"/>
      <c r="AG41" s="11">
        <v>637</v>
      </c>
      <c r="AH41" s="11"/>
      <c r="AI41" s="11"/>
      <c r="AJ41" s="12">
        <f t="shared" ref="AJ41:AJ42" si="9">SUM(B41:AI41)</f>
        <v>7761</v>
      </c>
    </row>
    <row r="42" spans="1:36" x14ac:dyDescent="0.25">
      <c r="A42" s="33" t="s">
        <v>302</v>
      </c>
      <c r="B42" s="11">
        <v>12</v>
      </c>
      <c r="C42" s="11">
        <v>1428</v>
      </c>
      <c r="D42" s="11"/>
      <c r="E42" s="11"/>
      <c r="F42" s="11">
        <v>5382</v>
      </c>
      <c r="G42" s="11">
        <v>509</v>
      </c>
      <c r="H42" s="11">
        <v>19621</v>
      </c>
      <c r="I42" s="11">
        <v>145</v>
      </c>
      <c r="J42" s="11">
        <v>-2973</v>
      </c>
      <c r="K42" s="11">
        <v>23</v>
      </c>
      <c r="L42" s="11"/>
      <c r="M42" s="11">
        <v>-4574</v>
      </c>
      <c r="N42" s="11">
        <v>168</v>
      </c>
      <c r="O42" s="11">
        <v>-265402</v>
      </c>
      <c r="P42" s="11">
        <v>132035</v>
      </c>
      <c r="Q42" s="11">
        <v>4075</v>
      </c>
      <c r="R42" s="11">
        <v>14532</v>
      </c>
      <c r="S42" s="11">
        <v>487</v>
      </c>
      <c r="T42" s="11">
        <v>-221</v>
      </c>
      <c r="U42" s="11">
        <v>7329</v>
      </c>
      <c r="V42" s="11">
        <v>0</v>
      </c>
      <c r="W42" s="11">
        <v>10475</v>
      </c>
      <c r="X42" s="11">
        <v>-13345</v>
      </c>
      <c r="Y42" s="11">
        <v>52</v>
      </c>
      <c r="Z42" s="11">
        <v>6012</v>
      </c>
      <c r="AA42" s="11"/>
      <c r="AB42" s="11">
        <v>9295</v>
      </c>
      <c r="AC42" s="11">
        <v>-10936</v>
      </c>
      <c r="AD42" s="11">
        <v>8916</v>
      </c>
      <c r="AE42" s="11">
        <v>2477</v>
      </c>
      <c r="AF42" s="11"/>
      <c r="AG42" s="11">
        <v>2417</v>
      </c>
      <c r="AH42" s="39">
        <v>96924</v>
      </c>
      <c r="AI42" s="11">
        <v>17606</v>
      </c>
      <c r="AJ42" s="12">
        <f t="shared" si="9"/>
        <v>42469</v>
      </c>
    </row>
    <row r="43" spans="1:36" x14ac:dyDescent="0.25">
      <c r="A43" s="33" t="s">
        <v>249</v>
      </c>
      <c r="B43" s="11">
        <v>-12</v>
      </c>
      <c r="C43" s="11">
        <v>9429</v>
      </c>
      <c r="D43" s="11"/>
      <c r="E43" s="11">
        <v>-2699</v>
      </c>
      <c r="F43" s="11">
        <v>67806</v>
      </c>
      <c r="G43" s="11">
        <v>3696</v>
      </c>
      <c r="H43" s="11">
        <v>114157</v>
      </c>
      <c r="I43" s="11">
        <v>2778</v>
      </c>
      <c r="J43" s="11">
        <v>-1476</v>
      </c>
      <c r="K43" s="11">
        <v>628</v>
      </c>
      <c r="L43" s="11"/>
      <c r="M43" s="11">
        <v>22624</v>
      </c>
      <c r="N43" s="11">
        <v>-497</v>
      </c>
      <c r="O43" s="11">
        <v>-77661</v>
      </c>
      <c r="P43" s="11">
        <v>7530</v>
      </c>
      <c r="Q43" s="11">
        <v>22608</v>
      </c>
      <c r="R43" s="11">
        <v>-11053</v>
      </c>
      <c r="S43" s="11">
        <v>5059</v>
      </c>
      <c r="T43" s="11">
        <v>871</v>
      </c>
      <c r="U43" s="11">
        <v>7266</v>
      </c>
      <c r="V43" s="11">
        <v>18955.062999999998</v>
      </c>
      <c r="W43" s="11">
        <v>105332</v>
      </c>
      <c r="X43" s="11">
        <v>45983</v>
      </c>
      <c r="Y43" s="11">
        <v>-31</v>
      </c>
      <c r="Z43" s="11">
        <v>10294</v>
      </c>
      <c r="AA43" s="11"/>
      <c r="AB43" s="11">
        <v>34752</v>
      </c>
      <c r="AC43" s="11">
        <v>6230</v>
      </c>
      <c r="AD43" s="11">
        <v>120631</v>
      </c>
      <c r="AE43" s="11">
        <v>-1274</v>
      </c>
      <c r="AF43" s="11"/>
      <c r="AG43" s="11">
        <v>20306</v>
      </c>
      <c r="AH43" s="39">
        <v>-38090</v>
      </c>
      <c r="AI43" s="11">
        <v>4763</v>
      </c>
      <c r="AJ43" s="12">
        <f t="shared" si="8"/>
        <v>498905.06299999997</v>
      </c>
    </row>
    <row r="44" spans="1:36" x14ac:dyDescent="0.25">
      <c r="A44" s="31"/>
    </row>
    <row r="45" spans="1:36" x14ac:dyDescent="0.25">
      <c r="A45" s="32" t="s">
        <v>245</v>
      </c>
    </row>
    <row r="46" spans="1:36" x14ac:dyDescent="0.25">
      <c r="A46" s="4" t="s">
        <v>0</v>
      </c>
      <c r="B46" s="50" t="s">
        <v>1</v>
      </c>
      <c r="C46" s="50" t="s">
        <v>2</v>
      </c>
      <c r="D46" s="50" t="s">
        <v>3</v>
      </c>
      <c r="E46" s="50" t="s">
        <v>4</v>
      </c>
      <c r="F46" s="50" t="s">
        <v>5</v>
      </c>
      <c r="G46" s="50" t="s">
        <v>6</v>
      </c>
      <c r="H46" s="50" t="s">
        <v>7</v>
      </c>
      <c r="I46" s="50" t="s">
        <v>8</v>
      </c>
      <c r="J46" s="50" t="s">
        <v>9</v>
      </c>
      <c r="K46" s="50" t="s">
        <v>10</v>
      </c>
      <c r="L46" s="50" t="s">
        <v>11</v>
      </c>
      <c r="M46" s="50" t="s">
        <v>12</v>
      </c>
      <c r="N46" s="50" t="s">
        <v>13</v>
      </c>
      <c r="O46" s="50" t="s">
        <v>14</v>
      </c>
      <c r="P46" s="50" t="s">
        <v>15</v>
      </c>
      <c r="Q46" s="50" t="s">
        <v>16</v>
      </c>
      <c r="R46" s="50" t="s">
        <v>17</v>
      </c>
      <c r="S46" s="50" t="s">
        <v>18</v>
      </c>
      <c r="T46" s="50" t="s">
        <v>19</v>
      </c>
      <c r="U46" s="50" t="s">
        <v>20</v>
      </c>
      <c r="V46" s="50" t="s">
        <v>21</v>
      </c>
      <c r="W46" s="50" t="s">
        <v>22</v>
      </c>
      <c r="X46" s="50" t="s">
        <v>23</v>
      </c>
      <c r="Y46" s="50" t="s">
        <v>24</v>
      </c>
      <c r="Z46" s="50" t="s">
        <v>25</v>
      </c>
      <c r="AA46" s="50" t="s">
        <v>26</v>
      </c>
      <c r="AB46" s="50" t="s">
        <v>27</v>
      </c>
      <c r="AC46" s="50" t="s">
        <v>28</v>
      </c>
      <c r="AD46" s="50" t="s">
        <v>29</v>
      </c>
      <c r="AE46" s="50" t="s">
        <v>30</v>
      </c>
      <c r="AF46" s="50" t="s">
        <v>31</v>
      </c>
      <c r="AG46" s="50" t="s">
        <v>32</v>
      </c>
      <c r="AH46" s="51" t="s">
        <v>33</v>
      </c>
      <c r="AI46" s="50" t="s">
        <v>34</v>
      </c>
      <c r="AJ46" s="50" t="s">
        <v>35</v>
      </c>
    </row>
    <row r="47" spans="1:36" x14ac:dyDescent="0.25">
      <c r="A47" s="33" t="s">
        <v>248</v>
      </c>
      <c r="B47" s="11"/>
      <c r="C47" s="11"/>
      <c r="D47" s="11"/>
      <c r="E47" s="11"/>
      <c r="F47" s="11">
        <v>13599</v>
      </c>
      <c r="G47" s="11">
        <v>10520</v>
      </c>
      <c r="H47" s="11">
        <v>2223</v>
      </c>
      <c r="I47" s="11"/>
      <c r="J47" s="11"/>
      <c r="K47" s="11"/>
      <c r="L47" s="11"/>
      <c r="M47" s="11">
        <v>4991</v>
      </c>
      <c r="N47" s="11"/>
      <c r="O47" s="11">
        <v>717</v>
      </c>
      <c r="P47" s="11">
        <v>9376</v>
      </c>
      <c r="Q47" s="11">
        <v>23742</v>
      </c>
      <c r="R47" s="11"/>
      <c r="S47" s="11">
        <v>3093</v>
      </c>
      <c r="T47" s="11">
        <v>27</v>
      </c>
      <c r="U47" s="11"/>
      <c r="V47" s="11">
        <v>17778.081999999999</v>
      </c>
      <c r="W47" s="11">
        <v>245602</v>
      </c>
      <c r="X47" s="11">
        <v>21098</v>
      </c>
      <c r="Y47" s="11">
        <v>2671</v>
      </c>
      <c r="Z47" s="11">
        <v>11282</v>
      </c>
      <c r="AA47" s="11"/>
      <c r="AB47" s="11"/>
      <c r="AC47" s="11">
        <v>507</v>
      </c>
      <c r="AD47" s="11">
        <v>4049</v>
      </c>
      <c r="AE47" s="11">
        <v>216</v>
      </c>
      <c r="AF47" s="11"/>
      <c r="AG47" s="11">
        <v>136869</v>
      </c>
      <c r="AH47" s="39">
        <v>16829</v>
      </c>
      <c r="AI47" s="11">
        <v>1413</v>
      </c>
      <c r="AJ47" s="12">
        <f t="shared" ref="AJ47:AJ50" si="10">SUM(B47:AI47)</f>
        <v>526602.08199999994</v>
      </c>
    </row>
    <row r="48" spans="1:36" x14ac:dyDescent="0.25">
      <c r="A48" s="33" t="s">
        <v>301</v>
      </c>
      <c r="B48" s="11"/>
      <c r="C48" s="11"/>
      <c r="D48" s="11"/>
      <c r="E48" s="11"/>
      <c r="F48" s="11"/>
      <c r="G48" s="11">
        <v>21</v>
      </c>
      <c r="H48" s="11"/>
      <c r="I48" s="11"/>
      <c r="J48" s="11"/>
      <c r="K48" s="11"/>
      <c r="L48" s="11"/>
      <c r="M48" s="11">
        <v>976</v>
      </c>
      <c r="N48" s="11"/>
      <c r="O48" s="11">
        <v>320</v>
      </c>
      <c r="P48" s="11"/>
      <c r="Q48" s="11">
        <v>277</v>
      </c>
      <c r="R48" s="11"/>
      <c r="S48" s="11"/>
      <c r="T48" s="11"/>
      <c r="U48" s="11"/>
      <c r="V48" s="11">
        <v>0</v>
      </c>
      <c r="W48" s="11">
        <v>263</v>
      </c>
      <c r="X48" s="11">
        <v>30</v>
      </c>
      <c r="Y48" s="11">
        <v>1119</v>
      </c>
      <c r="Z48" s="11"/>
      <c r="AA48" s="11"/>
      <c r="AB48" s="11"/>
      <c r="AC48" s="11"/>
      <c r="AD48" s="11">
        <v>702</v>
      </c>
      <c r="AE48" s="11"/>
      <c r="AF48" s="11"/>
      <c r="AG48" s="11">
        <v>11997</v>
      </c>
      <c r="AH48" s="39">
        <v>220</v>
      </c>
      <c r="AI48" s="11"/>
      <c r="AJ48" s="12">
        <f t="shared" ref="AJ48:AJ49" si="11">SUM(B48:AI48)</f>
        <v>15925</v>
      </c>
    </row>
    <row r="49" spans="1:36" x14ac:dyDescent="0.25">
      <c r="A49" s="33" t="s">
        <v>302</v>
      </c>
      <c r="B49" s="11">
        <v>9037</v>
      </c>
      <c r="C49" s="11"/>
      <c r="D49" s="11"/>
      <c r="E49" s="11"/>
      <c r="F49" s="11">
        <v>4136</v>
      </c>
      <c r="G49" s="11">
        <v>6047</v>
      </c>
      <c r="H49" s="11">
        <v>1005</v>
      </c>
      <c r="I49" s="11"/>
      <c r="J49" s="11"/>
      <c r="K49" s="11"/>
      <c r="L49" s="11"/>
      <c r="M49" s="11">
        <v>6058</v>
      </c>
      <c r="N49" s="11"/>
      <c r="O49" s="11">
        <v>-66</v>
      </c>
      <c r="P49" s="11">
        <v>11170</v>
      </c>
      <c r="Q49" s="11">
        <v>4309</v>
      </c>
      <c r="R49" s="11"/>
      <c r="S49" s="11">
        <v>189</v>
      </c>
      <c r="T49" s="11">
        <v>-29</v>
      </c>
      <c r="U49" s="11"/>
      <c r="V49" s="11">
        <v>0</v>
      </c>
      <c r="W49" s="11">
        <v>52530</v>
      </c>
      <c r="X49" s="11">
        <v>15922</v>
      </c>
      <c r="Y49" s="11">
        <v>138</v>
      </c>
      <c r="Z49" s="11">
        <v>1296</v>
      </c>
      <c r="AA49" s="11"/>
      <c r="AB49" s="11"/>
      <c r="AC49" s="11">
        <v>-3004</v>
      </c>
      <c r="AD49" s="11">
        <v>9468</v>
      </c>
      <c r="AE49" s="11">
        <v>16</v>
      </c>
      <c r="AF49" s="11"/>
      <c r="AG49" s="11">
        <v>201384</v>
      </c>
      <c r="AH49" s="39">
        <v>2083</v>
      </c>
      <c r="AI49" s="11">
        <v>1762</v>
      </c>
      <c r="AJ49" s="12">
        <f t="shared" si="11"/>
        <v>323451</v>
      </c>
    </row>
    <row r="50" spans="1:36" x14ac:dyDescent="0.25">
      <c r="A50" s="33" t="s">
        <v>249</v>
      </c>
      <c r="B50" s="11">
        <v>-9037</v>
      </c>
      <c r="C50" s="11"/>
      <c r="D50" s="11"/>
      <c r="E50" s="11"/>
      <c r="F50" s="11">
        <v>9463</v>
      </c>
      <c r="G50" s="11">
        <v>4494</v>
      </c>
      <c r="H50" s="11">
        <v>1218</v>
      </c>
      <c r="I50" s="11"/>
      <c r="J50" s="11"/>
      <c r="K50" s="11"/>
      <c r="L50" s="11"/>
      <c r="M50" s="11">
        <v>-92</v>
      </c>
      <c r="N50" s="11"/>
      <c r="O50" s="11">
        <v>970</v>
      </c>
      <c r="P50" s="11">
        <v>-1794</v>
      </c>
      <c r="Q50" s="11">
        <v>19710</v>
      </c>
      <c r="R50" s="11"/>
      <c r="S50" s="11">
        <v>2904</v>
      </c>
      <c r="T50" s="11">
        <v>-2</v>
      </c>
      <c r="U50" s="11"/>
      <c r="V50" s="11">
        <v>17778.081999999999</v>
      </c>
      <c r="W50" s="11">
        <v>193335</v>
      </c>
      <c r="X50" s="11">
        <v>5206</v>
      </c>
      <c r="Y50" s="11">
        <v>3653</v>
      </c>
      <c r="Z50" s="11">
        <v>9986</v>
      </c>
      <c r="AA50" s="11"/>
      <c r="AB50" s="11"/>
      <c r="AC50" s="11">
        <v>-2497</v>
      </c>
      <c r="AD50" s="11">
        <v>-4717</v>
      </c>
      <c r="AE50" s="11">
        <v>200</v>
      </c>
      <c r="AF50" s="11"/>
      <c r="AG50" s="11">
        <v>-52518</v>
      </c>
      <c r="AH50" s="39">
        <v>14966</v>
      </c>
      <c r="AI50" s="11">
        <v>-349</v>
      </c>
      <c r="AJ50" s="12">
        <f t="shared" si="10"/>
        <v>212877.08199999999</v>
      </c>
    </row>
    <row r="51" spans="1:36" x14ac:dyDescent="0.25">
      <c r="A51" s="34"/>
    </row>
    <row r="52" spans="1:36" x14ac:dyDescent="0.25">
      <c r="A52" s="35" t="s">
        <v>246</v>
      </c>
    </row>
    <row r="53" spans="1:36" x14ac:dyDescent="0.25">
      <c r="A53" s="4" t="s">
        <v>0</v>
      </c>
      <c r="B53" s="50" t="s">
        <v>1</v>
      </c>
      <c r="C53" s="50" t="s">
        <v>2</v>
      </c>
      <c r="D53" s="50" t="s">
        <v>3</v>
      </c>
      <c r="E53" s="50" t="s">
        <v>4</v>
      </c>
      <c r="F53" s="50" t="s">
        <v>5</v>
      </c>
      <c r="G53" s="50" t="s">
        <v>6</v>
      </c>
      <c r="H53" s="50" t="s">
        <v>7</v>
      </c>
      <c r="I53" s="50" t="s">
        <v>8</v>
      </c>
      <c r="J53" s="50" t="s">
        <v>9</v>
      </c>
      <c r="K53" s="50" t="s">
        <v>10</v>
      </c>
      <c r="L53" s="50" t="s">
        <v>11</v>
      </c>
      <c r="M53" s="50" t="s">
        <v>12</v>
      </c>
      <c r="N53" s="50" t="s">
        <v>13</v>
      </c>
      <c r="O53" s="50" t="s">
        <v>14</v>
      </c>
      <c r="P53" s="50" t="s">
        <v>15</v>
      </c>
      <c r="Q53" s="50" t="s">
        <v>16</v>
      </c>
      <c r="R53" s="50" t="s">
        <v>17</v>
      </c>
      <c r="S53" s="50" t="s">
        <v>18</v>
      </c>
      <c r="T53" s="50" t="s">
        <v>19</v>
      </c>
      <c r="U53" s="50" t="s">
        <v>20</v>
      </c>
      <c r="V53" s="50" t="s">
        <v>21</v>
      </c>
      <c r="W53" s="50" t="s">
        <v>22</v>
      </c>
      <c r="X53" s="50" t="s">
        <v>23</v>
      </c>
      <c r="Y53" s="50" t="s">
        <v>24</v>
      </c>
      <c r="Z53" s="50" t="s">
        <v>25</v>
      </c>
      <c r="AA53" s="50" t="s">
        <v>26</v>
      </c>
      <c r="AB53" s="50" t="s">
        <v>27</v>
      </c>
      <c r="AC53" s="50" t="s">
        <v>28</v>
      </c>
      <c r="AD53" s="50" t="s">
        <v>29</v>
      </c>
      <c r="AE53" s="50" t="s">
        <v>30</v>
      </c>
      <c r="AF53" s="50" t="s">
        <v>31</v>
      </c>
      <c r="AG53" s="50" t="s">
        <v>32</v>
      </c>
      <c r="AH53" s="51" t="s">
        <v>33</v>
      </c>
      <c r="AI53" s="50" t="s">
        <v>34</v>
      </c>
      <c r="AJ53" s="50" t="s">
        <v>35</v>
      </c>
    </row>
    <row r="54" spans="1:36" x14ac:dyDescent="0.25">
      <c r="A54" s="33" t="s">
        <v>248</v>
      </c>
      <c r="B54" s="11"/>
      <c r="C54" s="11"/>
      <c r="D54" s="11"/>
      <c r="E54" s="11"/>
      <c r="F54" s="11">
        <v>-629</v>
      </c>
      <c r="G54" s="11"/>
      <c r="H54" s="11"/>
      <c r="I54" s="11"/>
      <c r="J54" s="11"/>
      <c r="K54" s="11"/>
      <c r="L54" s="11"/>
      <c r="M54" s="11"/>
      <c r="N54" s="11"/>
      <c r="O54" s="11">
        <v>1985</v>
      </c>
      <c r="P54" s="11">
        <v>4447</v>
      </c>
      <c r="Q54" s="11"/>
      <c r="R54" s="11"/>
      <c r="S54" s="11"/>
      <c r="T54" s="11"/>
      <c r="U54" s="11"/>
      <c r="V54" s="11">
        <v>885.61900000000003</v>
      </c>
      <c r="W54" s="11">
        <v>3128</v>
      </c>
      <c r="X54" s="11">
        <v>1880</v>
      </c>
      <c r="Y54" s="11"/>
      <c r="Z54" s="11">
        <v>2653</v>
      </c>
      <c r="AA54" s="11"/>
      <c r="AB54" s="11"/>
      <c r="AC54" s="11"/>
      <c r="AD54" s="11"/>
      <c r="AE54" s="11"/>
      <c r="AF54" s="11"/>
      <c r="AG54" s="11"/>
      <c r="AH54" s="39">
        <v>1386</v>
      </c>
      <c r="AI54" s="11"/>
      <c r="AJ54" s="12">
        <f t="shared" ref="AJ54:AJ57" si="12">SUM(B54:AI54)</f>
        <v>15735.618999999999</v>
      </c>
    </row>
    <row r="55" spans="1:36" x14ac:dyDescent="0.25">
      <c r="A55" s="33" t="s">
        <v>301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0</v>
      </c>
      <c r="P55" s="11">
        <v>1353</v>
      </c>
      <c r="Q55" s="11"/>
      <c r="R55" s="11"/>
      <c r="S55" s="11"/>
      <c r="T55" s="11"/>
      <c r="U55" s="11"/>
      <c r="V55" s="11">
        <v>-318.63600000000002</v>
      </c>
      <c r="W55" s="11">
        <v>39716</v>
      </c>
      <c r="X55" s="11">
        <v>11074</v>
      </c>
      <c r="Y55" s="11"/>
      <c r="Z55" s="11"/>
      <c r="AA55" s="11"/>
      <c r="AB55" s="11"/>
      <c r="AC55" s="11"/>
      <c r="AD55" s="11"/>
      <c r="AE55" s="11"/>
      <c r="AF55" s="11"/>
      <c r="AG55" s="11"/>
      <c r="AH55" s="39">
        <v>32774</v>
      </c>
      <c r="AI55" s="11"/>
      <c r="AJ55" s="12">
        <f t="shared" ref="AJ55:AJ56" si="13">SUM(B55:AI55)</f>
        <v>84598.364000000001</v>
      </c>
    </row>
    <row r="56" spans="1:36" x14ac:dyDescent="0.25">
      <c r="A56" s="33" t="s">
        <v>302</v>
      </c>
      <c r="B56" s="11"/>
      <c r="C56" s="11"/>
      <c r="D56" s="11"/>
      <c r="E56" s="11"/>
      <c r="F56" s="11">
        <v>1756</v>
      </c>
      <c r="G56" s="11"/>
      <c r="H56" s="11"/>
      <c r="I56" s="11"/>
      <c r="J56" s="11"/>
      <c r="K56" s="11"/>
      <c r="L56" s="11"/>
      <c r="M56" s="11"/>
      <c r="N56" s="11"/>
      <c r="O56" s="11">
        <v>-1723</v>
      </c>
      <c r="P56" s="11">
        <v>3933</v>
      </c>
      <c r="Q56" s="11"/>
      <c r="R56" s="11"/>
      <c r="S56" s="11"/>
      <c r="T56" s="11"/>
      <c r="U56" s="11"/>
      <c r="V56" s="11">
        <v>8145.0590000000002</v>
      </c>
      <c r="W56" s="11">
        <v>11509</v>
      </c>
      <c r="X56" s="11">
        <v>2647</v>
      </c>
      <c r="Y56" s="11"/>
      <c r="Z56" s="11">
        <v>1892</v>
      </c>
      <c r="AA56" s="11"/>
      <c r="AB56" s="11"/>
      <c r="AC56" s="11"/>
      <c r="AD56" s="11"/>
      <c r="AE56" s="11"/>
      <c r="AF56" s="11"/>
      <c r="AG56" s="11"/>
      <c r="AH56" s="39">
        <v>2741</v>
      </c>
      <c r="AI56" s="11"/>
      <c r="AJ56" s="12">
        <f t="shared" si="13"/>
        <v>30900.059000000001</v>
      </c>
    </row>
    <row r="57" spans="1:36" x14ac:dyDescent="0.25">
      <c r="A57" s="33" t="s">
        <v>249</v>
      </c>
      <c r="B57" s="11"/>
      <c r="C57" s="11"/>
      <c r="D57" s="11"/>
      <c r="E57" s="11"/>
      <c r="F57" s="11">
        <v>-2385</v>
      </c>
      <c r="G57" s="11"/>
      <c r="H57" s="11"/>
      <c r="I57" s="11"/>
      <c r="J57" s="11"/>
      <c r="K57" s="11"/>
      <c r="L57" s="11"/>
      <c r="M57" s="11"/>
      <c r="N57" s="11"/>
      <c r="O57" s="11">
        <v>263</v>
      </c>
      <c r="P57" s="11">
        <v>1867</v>
      </c>
      <c r="Q57" s="11">
        <v>-2</v>
      </c>
      <c r="R57" s="11"/>
      <c r="S57" s="11"/>
      <c r="T57" s="11"/>
      <c r="U57" s="11"/>
      <c r="V57" s="11">
        <v>-7578.076</v>
      </c>
      <c r="W57" s="11">
        <v>31334</v>
      </c>
      <c r="X57" s="11">
        <v>10307</v>
      </c>
      <c r="Y57" s="11"/>
      <c r="Z57" s="11">
        <v>761</v>
      </c>
      <c r="AA57" s="11"/>
      <c r="AB57" s="11"/>
      <c r="AC57" s="11"/>
      <c r="AD57" s="11"/>
      <c r="AE57" s="11"/>
      <c r="AF57" s="11"/>
      <c r="AG57" s="11"/>
      <c r="AH57" s="39">
        <v>31419</v>
      </c>
      <c r="AI57" s="11"/>
      <c r="AJ57" s="12">
        <f t="shared" si="12"/>
        <v>65985.923999999999</v>
      </c>
    </row>
    <row r="58" spans="1:36" x14ac:dyDescent="0.25">
      <c r="A58" s="31"/>
    </row>
    <row r="59" spans="1:36" x14ac:dyDescent="0.25">
      <c r="A59" s="32" t="s">
        <v>247</v>
      </c>
    </row>
    <row r="60" spans="1:36" x14ac:dyDescent="0.25">
      <c r="A60" s="4" t="s">
        <v>0</v>
      </c>
      <c r="B60" s="50" t="s">
        <v>1</v>
      </c>
      <c r="C60" s="50" t="s">
        <v>2</v>
      </c>
      <c r="D60" s="50" t="s">
        <v>3</v>
      </c>
      <c r="E60" s="50" t="s">
        <v>4</v>
      </c>
      <c r="F60" s="50" t="s">
        <v>5</v>
      </c>
      <c r="G60" s="50" t="s">
        <v>6</v>
      </c>
      <c r="H60" s="50" t="s">
        <v>7</v>
      </c>
      <c r="I60" s="50" t="s">
        <v>8</v>
      </c>
      <c r="J60" s="50" t="s">
        <v>9</v>
      </c>
      <c r="K60" s="50" t="s">
        <v>10</v>
      </c>
      <c r="L60" s="50" t="s">
        <v>11</v>
      </c>
      <c r="M60" s="50" t="s">
        <v>12</v>
      </c>
      <c r="N60" s="50" t="s">
        <v>13</v>
      </c>
      <c r="O60" s="50" t="s">
        <v>14</v>
      </c>
      <c r="P60" s="50" t="s">
        <v>15</v>
      </c>
      <c r="Q60" s="50" t="s">
        <v>16</v>
      </c>
      <c r="R60" s="50" t="s">
        <v>17</v>
      </c>
      <c r="S60" s="50" t="s">
        <v>18</v>
      </c>
      <c r="T60" s="50" t="s">
        <v>19</v>
      </c>
      <c r="U60" s="50" t="s">
        <v>20</v>
      </c>
      <c r="V60" s="50" t="s">
        <v>21</v>
      </c>
      <c r="W60" s="50" t="s">
        <v>22</v>
      </c>
      <c r="X60" s="50" t="s">
        <v>23</v>
      </c>
      <c r="Y60" s="50" t="s">
        <v>24</v>
      </c>
      <c r="Z60" s="50" t="s">
        <v>25</v>
      </c>
      <c r="AA60" s="50" t="s">
        <v>26</v>
      </c>
      <c r="AB60" s="50" t="s">
        <v>27</v>
      </c>
      <c r="AC60" s="50" t="s">
        <v>28</v>
      </c>
      <c r="AD60" s="50" t="s">
        <v>29</v>
      </c>
      <c r="AE60" s="50" t="s">
        <v>30</v>
      </c>
      <c r="AF60" s="50" t="s">
        <v>31</v>
      </c>
      <c r="AG60" s="50" t="s">
        <v>32</v>
      </c>
      <c r="AH60" s="51" t="s">
        <v>33</v>
      </c>
      <c r="AI60" s="50" t="s">
        <v>34</v>
      </c>
      <c r="AJ60" s="50" t="s">
        <v>35</v>
      </c>
    </row>
    <row r="61" spans="1:36" x14ac:dyDescent="0.25">
      <c r="A61" s="33" t="s">
        <v>248</v>
      </c>
      <c r="B61" s="11">
        <f>B68-B54-B47-B40-B33-B26-B19-B12-B5</f>
        <v>0</v>
      </c>
      <c r="C61" s="11">
        <f t="shared" ref="C61:AI61" si="14">C68-C54-C47-C40-C33-C26-C19-C12-C5</f>
        <v>0</v>
      </c>
      <c r="D61" s="11">
        <f t="shared" si="14"/>
        <v>10061</v>
      </c>
      <c r="E61" s="11">
        <f t="shared" si="14"/>
        <v>9994</v>
      </c>
      <c r="F61" s="11">
        <f t="shared" si="14"/>
        <v>316414</v>
      </c>
      <c r="G61" s="11">
        <f t="shared" si="14"/>
        <v>9268</v>
      </c>
      <c r="H61" s="11">
        <f t="shared" si="14"/>
        <v>22801</v>
      </c>
      <c r="I61" s="11">
        <f t="shared" si="14"/>
        <v>0</v>
      </c>
      <c r="J61" s="11">
        <f t="shared" si="14"/>
        <v>138</v>
      </c>
      <c r="K61" s="11">
        <f t="shared" si="14"/>
        <v>71</v>
      </c>
      <c r="L61" s="11">
        <f t="shared" si="14"/>
        <v>6682.22</v>
      </c>
      <c r="M61" s="11">
        <f t="shared" si="14"/>
        <v>34640</v>
      </c>
      <c r="N61" s="11">
        <f t="shared" si="14"/>
        <v>406</v>
      </c>
      <c r="O61" s="11">
        <f t="shared" si="14"/>
        <v>107571</v>
      </c>
      <c r="P61" s="11">
        <f t="shared" si="14"/>
        <v>160832</v>
      </c>
      <c r="Q61" s="11">
        <f t="shared" si="14"/>
        <v>97304</v>
      </c>
      <c r="R61" s="11">
        <f t="shared" si="14"/>
        <v>3341</v>
      </c>
      <c r="S61" s="11">
        <f t="shared" si="14"/>
        <v>23652</v>
      </c>
      <c r="T61" s="11">
        <f t="shared" si="14"/>
        <v>2328</v>
      </c>
      <c r="U61" s="11">
        <f t="shared" si="14"/>
        <v>0</v>
      </c>
      <c r="V61" s="11">
        <f t="shared" si="14"/>
        <v>116477.7449999997</v>
      </c>
      <c r="W61" s="11">
        <f t="shared" si="14"/>
        <v>429922</v>
      </c>
      <c r="X61" s="11">
        <f t="shared" si="14"/>
        <v>219265</v>
      </c>
      <c r="Y61" s="11">
        <f t="shared" si="14"/>
        <v>16388</v>
      </c>
      <c r="Z61" s="11">
        <f t="shared" si="14"/>
        <v>28604</v>
      </c>
      <c r="AA61" s="11">
        <f t="shared" si="14"/>
        <v>0</v>
      </c>
      <c r="AB61" s="11">
        <f t="shared" si="14"/>
        <v>0</v>
      </c>
      <c r="AC61" s="11">
        <f t="shared" si="14"/>
        <v>6628</v>
      </c>
      <c r="AD61" s="11">
        <f t="shared" si="14"/>
        <v>44547</v>
      </c>
      <c r="AE61" s="11">
        <f t="shared" si="14"/>
        <v>2276</v>
      </c>
      <c r="AF61" s="11">
        <f t="shared" si="14"/>
        <v>1472346</v>
      </c>
      <c r="AG61" s="11">
        <f t="shared" si="14"/>
        <v>35280</v>
      </c>
      <c r="AH61" s="11">
        <f t="shared" si="14"/>
        <v>146093</v>
      </c>
      <c r="AI61" s="11">
        <f t="shared" si="14"/>
        <v>23137</v>
      </c>
      <c r="AJ61" s="12">
        <f t="shared" ref="AJ61:AJ64" si="15">SUM(B61:AI61)</f>
        <v>3346466.9649999999</v>
      </c>
    </row>
    <row r="62" spans="1:36" x14ac:dyDescent="0.25">
      <c r="A62" s="33" t="s">
        <v>301</v>
      </c>
      <c r="B62" s="11">
        <f t="shared" ref="B62:AI62" si="16">B69-B55-B48-B41-B34-B27-B20-B13-B6</f>
        <v>0</v>
      </c>
      <c r="C62" s="11">
        <f t="shared" si="16"/>
        <v>0</v>
      </c>
      <c r="D62" s="11">
        <f t="shared" si="16"/>
        <v>0</v>
      </c>
      <c r="E62" s="11">
        <f t="shared" si="16"/>
        <v>0</v>
      </c>
      <c r="F62" s="11">
        <f t="shared" si="16"/>
        <v>1</v>
      </c>
      <c r="G62" s="11">
        <f t="shared" si="16"/>
        <v>0</v>
      </c>
      <c r="H62" s="11">
        <f t="shared" si="16"/>
        <v>0</v>
      </c>
      <c r="I62" s="11">
        <f t="shared" si="16"/>
        <v>0</v>
      </c>
      <c r="J62" s="11">
        <f t="shared" si="16"/>
        <v>39</v>
      </c>
      <c r="K62" s="11">
        <f t="shared" si="16"/>
        <v>0</v>
      </c>
      <c r="L62" s="11">
        <f t="shared" si="16"/>
        <v>0</v>
      </c>
      <c r="M62" s="11">
        <f t="shared" si="16"/>
        <v>0</v>
      </c>
      <c r="N62" s="11">
        <f t="shared" si="16"/>
        <v>1049</v>
      </c>
      <c r="O62" s="11">
        <f t="shared" si="16"/>
        <v>10431</v>
      </c>
      <c r="P62" s="11">
        <f t="shared" si="16"/>
        <v>4401</v>
      </c>
      <c r="Q62" s="11">
        <f t="shared" si="16"/>
        <v>1101</v>
      </c>
      <c r="R62" s="11">
        <f t="shared" si="16"/>
        <v>0</v>
      </c>
      <c r="S62" s="11">
        <f t="shared" si="16"/>
        <v>0</v>
      </c>
      <c r="T62" s="11">
        <f t="shared" si="16"/>
        <v>0</v>
      </c>
      <c r="U62" s="11">
        <f t="shared" si="16"/>
        <v>0</v>
      </c>
      <c r="V62" s="11">
        <f t="shared" si="16"/>
        <v>1866.2970000000059</v>
      </c>
      <c r="W62" s="11">
        <f t="shared" si="16"/>
        <v>31172</v>
      </c>
      <c r="X62" s="11">
        <f t="shared" si="16"/>
        <v>2154</v>
      </c>
      <c r="Y62" s="11">
        <f t="shared" si="16"/>
        <v>8949</v>
      </c>
      <c r="Z62" s="11">
        <f t="shared" si="16"/>
        <v>26</v>
      </c>
      <c r="AA62" s="11">
        <f t="shared" si="16"/>
        <v>0</v>
      </c>
      <c r="AB62" s="11">
        <f t="shared" si="16"/>
        <v>0</v>
      </c>
      <c r="AC62" s="11">
        <f t="shared" si="16"/>
        <v>1116</v>
      </c>
      <c r="AD62" s="11">
        <f t="shared" si="16"/>
        <v>0</v>
      </c>
      <c r="AE62" s="11">
        <f t="shared" si="16"/>
        <v>0</v>
      </c>
      <c r="AF62" s="11">
        <f t="shared" si="16"/>
        <v>0</v>
      </c>
      <c r="AG62" s="11">
        <f t="shared" si="16"/>
        <v>0</v>
      </c>
      <c r="AH62" s="11">
        <f t="shared" si="16"/>
        <v>-39698</v>
      </c>
      <c r="AI62" s="11">
        <f t="shared" si="16"/>
        <v>0</v>
      </c>
      <c r="AJ62" s="12">
        <f t="shared" ref="AJ62:AJ63" si="17">SUM(B62:AI62)</f>
        <v>22607.297000000006</v>
      </c>
    </row>
    <row r="63" spans="1:36" x14ac:dyDescent="0.25">
      <c r="A63" s="33" t="s">
        <v>302</v>
      </c>
      <c r="B63" s="11">
        <f t="shared" ref="B63:AI63" si="18">B70-B56-B49-B42-B35-B28-B21-B14-B7</f>
        <v>0</v>
      </c>
      <c r="C63" s="11">
        <f t="shared" si="18"/>
        <v>0</v>
      </c>
      <c r="D63" s="11">
        <f t="shared" si="18"/>
        <v>30500</v>
      </c>
      <c r="E63" s="11">
        <f t="shared" si="18"/>
        <v>0</v>
      </c>
      <c r="F63" s="11">
        <f t="shared" si="18"/>
        <v>862110</v>
      </c>
      <c r="G63" s="11">
        <f t="shared" si="18"/>
        <v>7527</v>
      </c>
      <c r="H63" s="11">
        <f t="shared" si="18"/>
        <v>-3602</v>
      </c>
      <c r="I63" s="11">
        <f t="shared" si="18"/>
        <v>0</v>
      </c>
      <c r="J63" s="11">
        <f t="shared" si="18"/>
        <v>-17</v>
      </c>
      <c r="K63" s="11">
        <f t="shared" si="18"/>
        <v>8</v>
      </c>
      <c r="L63" s="11">
        <f t="shared" si="18"/>
        <v>103608.99</v>
      </c>
      <c r="M63" s="11">
        <f t="shared" si="18"/>
        <v>17487</v>
      </c>
      <c r="N63" s="11">
        <f t="shared" si="18"/>
        <v>1780</v>
      </c>
      <c r="O63" s="11">
        <f t="shared" si="18"/>
        <v>-88146</v>
      </c>
      <c r="P63" s="11">
        <f t="shared" si="18"/>
        <v>63881</v>
      </c>
      <c r="Q63" s="11">
        <f t="shared" si="18"/>
        <v>136302</v>
      </c>
      <c r="R63" s="11">
        <f t="shared" si="18"/>
        <v>1019</v>
      </c>
      <c r="S63" s="11">
        <f t="shared" si="18"/>
        <v>10758</v>
      </c>
      <c r="T63" s="11">
        <f t="shared" si="18"/>
        <v>-4200</v>
      </c>
      <c r="U63" s="11">
        <f t="shared" si="18"/>
        <v>0</v>
      </c>
      <c r="V63" s="11">
        <f t="shared" si="18"/>
        <v>47457.77199999991</v>
      </c>
      <c r="W63" s="11">
        <f t="shared" si="18"/>
        <v>104823</v>
      </c>
      <c r="X63" s="11">
        <f t="shared" si="18"/>
        <v>161236</v>
      </c>
      <c r="Y63" s="11">
        <f t="shared" si="18"/>
        <v>6947</v>
      </c>
      <c r="Z63" s="11">
        <f t="shared" si="18"/>
        <v>40377</v>
      </c>
      <c r="AA63" s="11">
        <f t="shared" si="18"/>
        <v>0</v>
      </c>
      <c r="AB63" s="11">
        <f t="shared" si="18"/>
        <v>0</v>
      </c>
      <c r="AC63" s="11">
        <f t="shared" si="18"/>
        <v>-68553</v>
      </c>
      <c r="AD63" s="11">
        <f t="shared" si="18"/>
        <v>124213</v>
      </c>
      <c r="AE63" s="11">
        <f t="shared" si="18"/>
        <v>561</v>
      </c>
      <c r="AF63" s="11">
        <f t="shared" si="18"/>
        <v>739251</v>
      </c>
      <c r="AG63" s="11">
        <f t="shared" si="18"/>
        <v>80416</v>
      </c>
      <c r="AH63" s="11">
        <f t="shared" si="18"/>
        <v>50799</v>
      </c>
      <c r="AI63" s="11">
        <f t="shared" si="18"/>
        <v>15251</v>
      </c>
      <c r="AJ63" s="12">
        <f t="shared" si="17"/>
        <v>2441794.7620000001</v>
      </c>
    </row>
    <row r="64" spans="1:36" x14ac:dyDescent="0.25">
      <c r="A64" s="33" t="s">
        <v>249</v>
      </c>
      <c r="B64" s="11">
        <f>B71-B57-B50-B43-B36-B29-B22-B15-B8</f>
        <v>0</v>
      </c>
      <c r="C64" s="11">
        <f t="shared" ref="C64:AI64" si="19">C71-C57-C50-C43-C36-C29-C22-C15-C8</f>
        <v>0</v>
      </c>
      <c r="D64" s="11">
        <f t="shared" si="19"/>
        <v>-20439</v>
      </c>
      <c r="E64" s="11">
        <f t="shared" si="19"/>
        <v>9215</v>
      </c>
      <c r="F64" s="11">
        <f t="shared" si="19"/>
        <v>-545695</v>
      </c>
      <c r="G64" s="11">
        <f t="shared" si="19"/>
        <v>1742</v>
      </c>
      <c r="H64" s="11">
        <f t="shared" si="19"/>
        <v>26403</v>
      </c>
      <c r="I64" s="11">
        <f t="shared" si="19"/>
        <v>0</v>
      </c>
      <c r="J64" s="11">
        <f t="shared" si="19"/>
        <v>121</v>
      </c>
      <c r="K64" s="11">
        <f t="shared" si="19"/>
        <v>63</v>
      </c>
      <c r="L64" s="11">
        <f t="shared" si="19"/>
        <v>-96926.77</v>
      </c>
      <c r="M64" s="11">
        <f t="shared" si="19"/>
        <v>17153</v>
      </c>
      <c r="N64" s="11">
        <f t="shared" si="19"/>
        <v>-325</v>
      </c>
      <c r="O64" s="11">
        <f t="shared" si="19"/>
        <v>29858</v>
      </c>
      <c r="P64" s="11">
        <f t="shared" si="19"/>
        <v>101352</v>
      </c>
      <c r="Q64" s="11">
        <f t="shared" si="19"/>
        <v>-37895</v>
      </c>
      <c r="R64" s="11">
        <f t="shared" si="19"/>
        <v>2322</v>
      </c>
      <c r="S64" s="11">
        <f t="shared" si="19"/>
        <v>12895</v>
      </c>
      <c r="T64" s="11">
        <f t="shared" si="19"/>
        <v>-1872</v>
      </c>
      <c r="U64" s="11">
        <f t="shared" si="19"/>
        <v>0</v>
      </c>
      <c r="V64" s="11">
        <f t="shared" si="19"/>
        <v>70886.270000000368</v>
      </c>
      <c r="W64" s="11">
        <f t="shared" si="19"/>
        <v>356270</v>
      </c>
      <c r="X64" s="11">
        <f t="shared" si="19"/>
        <v>60183</v>
      </c>
      <c r="Y64" s="11">
        <f t="shared" si="19"/>
        <v>18388</v>
      </c>
      <c r="Z64" s="11">
        <f t="shared" si="19"/>
        <v>-11747</v>
      </c>
      <c r="AA64" s="11">
        <f t="shared" si="19"/>
        <v>0</v>
      </c>
      <c r="AB64" s="11">
        <f t="shared" si="19"/>
        <v>0</v>
      </c>
      <c r="AC64" s="11">
        <f t="shared" si="19"/>
        <v>-1602</v>
      </c>
      <c r="AD64" s="11">
        <f t="shared" si="19"/>
        <v>-79666</v>
      </c>
      <c r="AE64" s="11">
        <f t="shared" si="19"/>
        <v>1716</v>
      </c>
      <c r="AF64" s="11">
        <f t="shared" si="19"/>
        <v>733096</v>
      </c>
      <c r="AG64" s="11">
        <f t="shared" si="19"/>
        <v>-45136</v>
      </c>
      <c r="AH64" s="11">
        <f t="shared" si="19"/>
        <v>55596</v>
      </c>
      <c r="AI64" s="11">
        <f t="shared" si="19"/>
        <v>7886</v>
      </c>
      <c r="AJ64" s="12">
        <f t="shared" si="15"/>
        <v>663841.50000000035</v>
      </c>
    </row>
    <row r="65" spans="1:36" x14ac:dyDescent="0.25">
      <c r="A65" s="31"/>
    </row>
    <row r="66" spans="1:36" x14ac:dyDescent="0.25">
      <c r="A66" s="32" t="s">
        <v>57</v>
      </c>
    </row>
    <row r="67" spans="1:36" x14ac:dyDescent="0.25">
      <c r="A67" s="4" t="s">
        <v>0</v>
      </c>
      <c r="B67" s="50" t="s">
        <v>1</v>
      </c>
      <c r="C67" s="50" t="s">
        <v>2</v>
      </c>
      <c r="D67" s="50" t="s">
        <v>3</v>
      </c>
      <c r="E67" s="50" t="s">
        <v>4</v>
      </c>
      <c r="F67" s="50" t="s">
        <v>5</v>
      </c>
      <c r="G67" s="50" t="s">
        <v>6</v>
      </c>
      <c r="H67" s="50" t="s">
        <v>7</v>
      </c>
      <c r="I67" s="50" t="s">
        <v>8</v>
      </c>
      <c r="J67" s="50" t="s">
        <v>9</v>
      </c>
      <c r="K67" s="50" t="s">
        <v>10</v>
      </c>
      <c r="L67" s="50" t="s">
        <v>11</v>
      </c>
      <c r="M67" s="50" t="s">
        <v>12</v>
      </c>
      <c r="N67" s="50" t="s">
        <v>13</v>
      </c>
      <c r="O67" s="50" t="s">
        <v>14</v>
      </c>
      <c r="P67" s="50" t="s">
        <v>15</v>
      </c>
      <c r="Q67" s="50" t="s">
        <v>16</v>
      </c>
      <c r="R67" s="50" t="s">
        <v>17</v>
      </c>
      <c r="S67" s="50" t="s">
        <v>18</v>
      </c>
      <c r="T67" s="50" t="s">
        <v>19</v>
      </c>
      <c r="U67" s="50" t="s">
        <v>20</v>
      </c>
      <c r="V67" s="50" t="s">
        <v>21</v>
      </c>
      <c r="W67" s="50" t="s">
        <v>22</v>
      </c>
      <c r="X67" s="50" t="s">
        <v>23</v>
      </c>
      <c r="Y67" s="50" t="s">
        <v>24</v>
      </c>
      <c r="Z67" s="50" t="s">
        <v>25</v>
      </c>
      <c r="AA67" s="50" t="s">
        <v>26</v>
      </c>
      <c r="AB67" s="50" t="s">
        <v>27</v>
      </c>
      <c r="AC67" s="50" t="s">
        <v>28</v>
      </c>
      <c r="AD67" s="50" t="s">
        <v>29</v>
      </c>
      <c r="AE67" s="50" t="s">
        <v>30</v>
      </c>
      <c r="AF67" s="50" t="s">
        <v>31</v>
      </c>
      <c r="AG67" s="50" t="s">
        <v>32</v>
      </c>
      <c r="AH67" s="51" t="s">
        <v>33</v>
      </c>
      <c r="AI67" s="50" t="s">
        <v>34</v>
      </c>
      <c r="AJ67" s="50" t="s">
        <v>35</v>
      </c>
    </row>
    <row r="68" spans="1:36" x14ac:dyDescent="0.25">
      <c r="A68" s="33" t="s">
        <v>248</v>
      </c>
      <c r="B68" s="11">
        <v>7354</v>
      </c>
      <c r="C68" s="11">
        <v>167609</v>
      </c>
      <c r="D68" s="11">
        <v>10061</v>
      </c>
      <c r="E68" s="11">
        <v>506389</v>
      </c>
      <c r="F68" s="11">
        <v>2203930</v>
      </c>
      <c r="G68" s="11">
        <v>583553</v>
      </c>
      <c r="H68" s="11">
        <v>911071</v>
      </c>
      <c r="I68" s="11">
        <v>160100</v>
      </c>
      <c r="J68" s="11">
        <v>31734</v>
      </c>
      <c r="K68" s="11">
        <v>5736</v>
      </c>
      <c r="L68" s="11">
        <v>6682.22</v>
      </c>
      <c r="M68" s="11">
        <v>421506</v>
      </c>
      <c r="N68" s="11">
        <v>110845</v>
      </c>
      <c r="O68" s="11">
        <v>1791289</v>
      </c>
      <c r="P68" s="11">
        <v>3024561</v>
      </c>
      <c r="Q68" s="11">
        <v>1438115</v>
      </c>
      <c r="R68" s="11">
        <v>79761</v>
      </c>
      <c r="S68" s="11">
        <v>384468</v>
      </c>
      <c r="T68" s="11">
        <v>170464</v>
      </c>
      <c r="U68" s="11">
        <v>295926</v>
      </c>
      <c r="V68" s="11">
        <v>2249519.0729999999</v>
      </c>
      <c r="W68" s="11">
        <v>6246725</v>
      </c>
      <c r="X68" s="11">
        <v>1919665</v>
      </c>
      <c r="Y68" s="11">
        <v>21420</v>
      </c>
      <c r="Z68" s="11">
        <v>1311453</v>
      </c>
      <c r="AA68" s="11">
        <v>2369</v>
      </c>
      <c r="AB68" s="11">
        <v>494497</v>
      </c>
      <c r="AC68" s="11">
        <v>777742</v>
      </c>
      <c r="AD68" s="11">
        <v>1007616</v>
      </c>
      <c r="AE68" s="11">
        <v>231471</v>
      </c>
      <c r="AF68" s="11">
        <v>1472346</v>
      </c>
      <c r="AG68" s="11">
        <v>1740595</v>
      </c>
      <c r="AH68" s="39">
        <v>1919952</v>
      </c>
      <c r="AI68" s="11">
        <v>291605</v>
      </c>
      <c r="AJ68" s="12">
        <f t="shared" ref="AJ68:AJ71" si="20">SUM(B68:AI68)</f>
        <v>31998129.292999998</v>
      </c>
    </row>
    <row r="69" spans="1:36" x14ac:dyDescent="0.25">
      <c r="A69" s="33" t="s">
        <v>301</v>
      </c>
      <c r="B69" s="11"/>
      <c r="C69" s="11"/>
      <c r="D69" s="11">
        <v>0</v>
      </c>
      <c r="E69" s="11"/>
      <c r="F69" s="11">
        <v>15162</v>
      </c>
      <c r="G69" s="11">
        <v>7702</v>
      </c>
      <c r="H69" s="11">
        <v>1254</v>
      </c>
      <c r="I69" s="11"/>
      <c r="J69" s="11">
        <v>228</v>
      </c>
      <c r="K69" s="11">
        <v>1989</v>
      </c>
      <c r="L69" s="11"/>
      <c r="M69" s="11">
        <v>20969</v>
      </c>
      <c r="N69" s="11">
        <v>96648</v>
      </c>
      <c r="O69" s="11">
        <v>34126</v>
      </c>
      <c r="P69" s="11">
        <v>110393</v>
      </c>
      <c r="Q69" s="11">
        <v>13105</v>
      </c>
      <c r="R69" s="11">
        <v>321</v>
      </c>
      <c r="S69" s="11"/>
      <c r="T69" s="11">
        <v>18833</v>
      </c>
      <c r="U69" s="11"/>
      <c r="V69" s="11">
        <v>71287.717000000004</v>
      </c>
      <c r="W69" s="11">
        <v>650388</v>
      </c>
      <c r="X69" s="11">
        <v>85854</v>
      </c>
      <c r="Y69" s="11">
        <v>10128</v>
      </c>
      <c r="Z69" s="11">
        <v>5925</v>
      </c>
      <c r="AA69" s="11"/>
      <c r="AB69" s="11">
        <v>1132</v>
      </c>
      <c r="AC69" s="11">
        <v>16127</v>
      </c>
      <c r="AD69" s="11">
        <v>702</v>
      </c>
      <c r="AE69" s="11">
        <v>2280</v>
      </c>
      <c r="AF69" s="11"/>
      <c r="AG69" s="11">
        <v>35410</v>
      </c>
      <c r="AH69" s="39">
        <v>162648</v>
      </c>
      <c r="AI69" s="11">
        <v>1140</v>
      </c>
      <c r="AJ69" s="12">
        <f t="shared" si="20"/>
        <v>1363751.7169999999</v>
      </c>
    </row>
    <row r="70" spans="1:36" x14ac:dyDescent="0.25">
      <c r="A70" s="33" t="s">
        <v>302</v>
      </c>
      <c r="B70" s="11">
        <v>35272</v>
      </c>
      <c r="C70" s="11">
        <v>8718</v>
      </c>
      <c r="D70" s="11">
        <v>30500</v>
      </c>
      <c r="E70" s="11"/>
      <c r="F70" s="11">
        <v>2722240</v>
      </c>
      <c r="G70" s="11">
        <v>275708</v>
      </c>
      <c r="H70" s="11">
        <v>648296</v>
      </c>
      <c r="I70" s="11">
        <v>7958</v>
      </c>
      <c r="J70" s="11">
        <v>-32338</v>
      </c>
      <c r="K70" s="11">
        <v>52910</v>
      </c>
      <c r="L70" s="11">
        <v>103608.99</v>
      </c>
      <c r="M70" s="11">
        <v>170437</v>
      </c>
      <c r="N70" s="11">
        <v>172877</v>
      </c>
      <c r="O70" s="11">
        <v>-2039631</v>
      </c>
      <c r="P70" s="11">
        <v>2587890</v>
      </c>
      <c r="Q70" s="11">
        <v>608388</v>
      </c>
      <c r="R70" s="11">
        <v>25098</v>
      </c>
      <c r="S70" s="11">
        <v>68913</v>
      </c>
      <c r="T70" s="11">
        <v>-301480</v>
      </c>
      <c r="U70" s="11">
        <v>352984</v>
      </c>
      <c r="V70" s="11">
        <v>457423.6339999999</v>
      </c>
      <c r="W70" s="11">
        <v>1653431</v>
      </c>
      <c r="X70" s="11">
        <v>486661</v>
      </c>
      <c r="Y70" s="11">
        <v>9087</v>
      </c>
      <c r="Z70" s="11">
        <v>1197923</v>
      </c>
      <c r="AA70" s="11">
        <v>5607</v>
      </c>
      <c r="AB70" s="11">
        <v>641155</v>
      </c>
      <c r="AC70" s="11">
        <v>-525301</v>
      </c>
      <c r="AD70" s="11">
        <v>1475965</v>
      </c>
      <c r="AE70" s="11">
        <v>28957</v>
      </c>
      <c r="AF70" s="11">
        <v>739251</v>
      </c>
      <c r="AG70" s="11">
        <v>2684569</v>
      </c>
      <c r="AH70" s="39">
        <v>482969</v>
      </c>
      <c r="AI70" s="11">
        <v>112230</v>
      </c>
      <c r="AJ70" s="12">
        <f t="shared" si="20"/>
        <v>14948276.624</v>
      </c>
    </row>
    <row r="71" spans="1:36" x14ac:dyDescent="0.25">
      <c r="A71" s="33" t="s">
        <v>249</v>
      </c>
      <c r="B71" s="11">
        <v>-27918</v>
      </c>
      <c r="C71" s="11">
        <v>158891</v>
      </c>
      <c r="D71" s="11">
        <v>-20439</v>
      </c>
      <c r="E71" s="11">
        <v>101256</v>
      </c>
      <c r="F71" s="11">
        <v>-503148</v>
      </c>
      <c r="G71" s="11">
        <v>315547</v>
      </c>
      <c r="H71" s="11">
        <v>264029</v>
      </c>
      <c r="I71" s="11">
        <v>152142</v>
      </c>
      <c r="J71" s="11">
        <v>-376</v>
      </c>
      <c r="K71" s="11">
        <v>-45185</v>
      </c>
      <c r="L71" s="11">
        <v>-96926.77</v>
      </c>
      <c r="M71" s="11">
        <v>272039</v>
      </c>
      <c r="N71" s="11">
        <v>34616</v>
      </c>
      <c r="O71" s="11">
        <v>-214216</v>
      </c>
      <c r="P71" s="11">
        <v>547064</v>
      </c>
      <c r="Q71" s="11">
        <v>842832</v>
      </c>
      <c r="R71" s="11">
        <v>54984</v>
      </c>
      <c r="S71" s="11">
        <v>315555</v>
      </c>
      <c r="T71" s="11">
        <v>-112183</v>
      </c>
      <c r="U71" s="11">
        <v>-57058</v>
      </c>
      <c r="V71" s="11">
        <v>1863383.1560000002</v>
      </c>
      <c r="W71" s="11">
        <v>5243683</v>
      </c>
      <c r="X71" s="11">
        <v>1518858</v>
      </c>
      <c r="Y71" s="11">
        <v>22461</v>
      </c>
      <c r="Z71" s="11">
        <v>119455</v>
      </c>
      <c r="AA71" s="11">
        <v>-3238</v>
      </c>
      <c r="AB71" s="11">
        <v>-145526</v>
      </c>
      <c r="AC71" s="11">
        <v>268568</v>
      </c>
      <c r="AD71" s="11">
        <v>-467647</v>
      </c>
      <c r="AE71" s="11">
        <v>204794</v>
      </c>
      <c r="AF71" s="11">
        <v>733096</v>
      </c>
      <c r="AG71" s="11">
        <v>-908564</v>
      </c>
      <c r="AH71" s="39">
        <v>1599631</v>
      </c>
      <c r="AI71" s="11">
        <v>180515</v>
      </c>
      <c r="AJ71" s="12">
        <f t="shared" si="20"/>
        <v>12210974.386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6" t="s">
        <v>225</v>
      </c>
    </row>
    <row r="2" spans="1:36" x14ac:dyDescent="0.25">
      <c r="A2" s="7" t="s">
        <v>48</v>
      </c>
    </row>
    <row r="3" spans="1:36" x14ac:dyDescent="0.25">
      <c r="A3" s="1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64" t="s">
        <v>9</v>
      </c>
      <c r="K3" s="64" t="s">
        <v>10</v>
      </c>
      <c r="L3" s="64" t="s">
        <v>11</v>
      </c>
      <c r="M3" s="64" t="s">
        <v>12</v>
      </c>
      <c r="N3" s="64" t="s">
        <v>13</v>
      </c>
      <c r="O3" s="64" t="s">
        <v>14</v>
      </c>
      <c r="P3" s="64" t="s">
        <v>15</v>
      </c>
      <c r="Q3" s="64" t="s">
        <v>16</v>
      </c>
      <c r="R3" s="64" t="s">
        <v>17</v>
      </c>
      <c r="S3" s="64" t="s">
        <v>18</v>
      </c>
      <c r="T3" s="64" t="s">
        <v>19</v>
      </c>
      <c r="U3" s="64" t="s">
        <v>20</v>
      </c>
      <c r="V3" s="64" t="s">
        <v>21</v>
      </c>
      <c r="W3" s="64" t="s">
        <v>22</v>
      </c>
      <c r="X3" s="64" t="s">
        <v>23</v>
      </c>
      <c r="Y3" s="64" t="s">
        <v>24</v>
      </c>
      <c r="Z3" s="64" t="s">
        <v>25</v>
      </c>
      <c r="AA3" s="64" t="s">
        <v>26</v>
      </c>
      <c r="AB3" s="64" t="s">
        <v>27</v>
      </c>
      <c r="AC3" s="64" t="s">
        <v>28</v>
      </c>
      <c r="AD3" s="64" t="s">
        <v>29</v>
      </c>
      <c r="AE3" s="64" t="s">
        <v>30</v>
      </c>
      <c r="AF3" s="64" t="s">
        <v>31</v>
      </c>
      <c r="AG3" s="64" t="s">
        <v>32</v>
      </c>
      <c r="AH3" s="65" t="s">
        <v>33</v>
      </c>
      <c r="AI3" s="64" t="s">
        <v>34</v>
      </c>
      <c r="AJ3" s="64" t="s">
        <v>35</v>
      </c>
    </row>
    <row r="4" spans="1:36" x14ac:dyDescent="0.25">
      <c r="A4" s="29" t="s">
        <v>226</v>
      </c>
      <c r="B4" s="11">
        <v>95651</v>
      </c>
      <c r="C4" s="11">
        <v>483512</v>
      </c>
      <c r="D4" s="11">
        <v>133414</v>
      </c>
      <c r="E4" s="11">
        <v>582770</v>
      </c>
      <c r="F4" s="11">
        <v>2418836</v>
      </c>
      <c r="G4" s="11">
        <v>547143</v>
      </c>
      <c r="H4" s="11">
        <v>317833</v>
      </c>
      <c r="I4" s="11">
        <v>341232</v>
      </c>
      <c r="J4" s="11">
        <v>104489</v>
      </c>
      <c r="K4" s="11">
        <v>85391</v>
      </c>
      <c r="L4" s="11">
        <v>316442.38</v>
      </c>
      <c r="M4" s="11">
        <v>489125</v>
      </c>
      <c r="N4" s="11">
        <v>148517</v>
      </c>
      <c r="O4" s="11">
        <v>824207</v>
      </c>
      <c r="P4" s="11">
        <v>1744097</v>
      </c>
      <c r="Q4" s="11">
        <v>712550</v>
      </c>
      <c r="R4" s="11">
        <v>159074</v>
      </c>
      <c r="S4" s="11">
        <v>329849</v>
      </c>
      <c r="T4" s="11">
        <v>254620</v>
      </c>
      <c r="U4" s="11">
        <v>426565</v>
      </c>
      <c r="V4" s="11">
        <v>4326386</v>
      </c>
      <c r="W4" s="11">
        <v>6485479</v>
      </c>
      <c r="X4" s="11">
        <v>4739556</v>
      </c>
      <c r="Y4" s="11">
        <v>70426</v>
      </c>
      <c r="Z4" s="11">
        <v>977413</v>
      </c>
      <c r="AA4" s="11">
        <v>98528</v>
      </c>
      <c r="AB4" s="11">
        <v>736520</v>
      </c>
      <c r="AC4" s="11">
        <v>469866</v>
      </c>
      <c r="AD4" s="11">
        <v>756050</v>
      </c>
      <c r="AE4" s="11">
        <v>226394</v>
      </c>
      <c r="AF4" s="11">
        <v>1778268</v>
      </c>
      <c r="AG4" s="11">
        <v>1162741</v>
      </c>
      <c r="AH4" s="39">
        <v>4229063</v>
      </c>
      <c r="AI4" s="11">
        <v>182665</v>
      </c>
      <c r="AJ4" s="12">
        <f>SUM(B4:AI4)</f>
        <v>36754672.379999995</v>
      </c>
    </row>
    <row r="5" spans="1:36" x14ac:dyDescent="0.25">
      <c r="A5" s="29" t="s">
        <v>227</v>
      </c>
      <c r="B5" s="11">
        <v>5848</v>
      </c>
      <c r="C5" s="11">
        <v>28295</v>
      </c>
      <c r="D5" s="11">
        <v>5463</v>
      </c>
      <c r="E5" s="11">
        <v>25571</v>
      </c>
      <c r="F5" s="11">
        <v>115002</v>
      </c>
      <c r="G5" s="11">
        <v>34707</v>
      </c>
      <c r="H5" s="11">
        <v>32236</v>
      </c>
      <c r="I5" s="11">
        <v>15681</v>
      </c>
      <c r="J5" s="11">
        <v>1847</v>
      </c>
      <c r="K5" s="11">
        <v>2994</v>
      </c>
      <c r="L5" s="11">
        <v>22501.200000000001</v>
      </c>
      <c r="M5" s="11">
        <v>23539</v>
      </c>
      <c r="N5" s="11">
        <v>16480</v>
      </c>
      <c r="O5" s="11">
        <v>59595</v>
      </c>
      <c r="P5" s="11">
        <v>146057</v>
      </c>
      <c r="Q5" s="11">
        <v>61959</v>
      </c>
      <c r="R5" s="11">
        <v>8488</v>
      </c>
      <c r="S5" s="11">
        <v>29682</v>
      </c>
      <c r="T5" s="11">
        <v>18880</v>
      </c>
      <c r="U5" s="11">
        <v>27824</v>
      </c>
      <c r="V5" s="11">
        <v>112698</v>
      </c>
      <c r="W5" s="11">
        <v>119867</v>
      </c>
      <c r="X5" s="11">
        <v>84587</v>
      </c>
      <c r="Y5" s="11">
        <v>281</v>
      </c>
      <c r="Z5" s="11">
        <v>59759</v>
      </c>
      <c r="AA5" s="11">
        <v>2996</v>
      </c>
      <c r="AB5" s="11">
        <v>28190</v>
      </c>
      <c r="AC5" s="11">
        <v>18144</v>
      </c>
      <c r="AD5" s="11">
        <v>81611</v>
      </c>
      <c r="AE5" s="11">
        <v>26204</v>
      </c>
      <c r="AF5" s="11">
        <v>41136</v>
      </c>
      <c r="AG5" s="11">
        <v>62572</v>
      </c>
      <c r="AH5" s="39">
        <v>97533</v>
      </c>
      <c r="AI5" s="11">
        <v>11684</v>
      </c>
      <c r="AJ5" s="12">
        <f t="shared" ref="AJ5:AJ17" si="0">SUM(B5:AI5)</f>
        <v>1429911.2</v>
      </c>
    </row>
    <row r="6" spans="1:36" x14ac:dyDescent="0.25">
      <c r="A6" s="29" t="s">
        <v>228</v>
      </c>
      <c r="B6" s="11">
        <v>16</v>
      </c>
      <c r="C6" s="11">
        <v>8787</v>
      </c>
      <c r="D6" s="11">
        <v>401</v>
      </c>
      <c r="E6" s="11">
        <v>1320</v>
      </c>
      <c r="F6" s="11">
        <v>2999</v>
      </c>
      <c r="G6" s="11">
        <v>11744</v>
      </c>
      <c r="H6" s="11">
        <v>9293</v>
      </c>
      <c r="I6" s="11">
        <v>36063</v>
      </c>
      <c r="J6" s="11">
        <v>11543</v>
      </c>
      <c r="K6" s="11">
        <v>6819</v>
      </c>
      <c r="L6" s="11">
        <v>248.71</v>
      </c>
      <c r="M6" s="11">
        <v>33354</v>
      </c>
      <c r="N6" s="11">
        <v>2584</v>
      </c>
      <c r="O6" s="11">
        <v>198900</v>
      </c>
      <c r="P6" s="11">
        <v>22144</v>
      </c>
      <c r="Q6" s="11">
        <v>5071</v>
      </c>
      <c r="R6" s="11">
        <v>288</v>
      </c>
      <c r="S6" s="11">
        <v>36750</v>
      </c>
      <c r="T6" s="11"/>
      <c r="U6" s="11">
        <v>18080</v>
      </c>
      <c r="V6" s="11">
        <v>19677</v>
      </c>
      <c r="W6" s="11">
        <v>15455</v>
      </c>
      <c r="X6" s="11">
        <v>7422</v>
      </c>
      <c r="Y6" s="11"/>
      <c r="Z6" s="11"/>
      <c r="AA6" s="11">
        <v>3194</v>
      </c>
      <c r="AB6" s="11">
        <v>2249</v>
      </c>
      <c r="AC6" s="11">
        <v>4030</v>
      </c>
      <c r="AD6" s="11">
        <v>5856</v>
      </c>
      <c r="AE6" s="11">
        <v>1707</v>
      </c>
      <c r="AF6" s="11">
        <v>15611</v>
      </c>
      <c r="AG6" s="11">
        <v>39048</v>
      </c>
      <c r="AH6" s="39">
        <v>15276</v>
      </c>
      <c r="AI6" s="11">
        <v>287</v>
      </c>
      <c r="AJ6" s="12">
        <f t="shared" si="0"/>
        <v>536216.71</v>
      </c>
    </row>
    <row r="7" spans="1:36" x14ac:dyDescent="0.25">
      <c r="A7" s="29" t="s">
        <v>229</v>
      </c>
      <c r="B7" s="11">
        <v>9210</v>
      </c>
      <c r="C7" s="11">
        <v>38439</v>
      </c>
      <c r="D7" s="11">
        <v>19745</v>
      </c>
      <c r="E7" s="11">
        <v>42896</v>
      </c>
      <c r="F7" s="11">
        <v>98628</v>
      </c>
      <c r="G7" s="11">
        <v>59214</v>
      </c>
      <c r="H7" s="11">
        <v>26950</v>
      </c>
      <c r="I7" s="11">
        <v>21919</v>
      </c>
      <c r="J7" s="11">
        <v>16274</v>
      </c>
      <c r="K7" s="11">
        <v>12446</v>
      </c>
      <c r="L7" s="11">
        <v>73937.97</v>
      </c>
      <c r="M7" s="11">
        <v>60941</v>
      </c>
      <c r="N7" s="11">
        <v>224</v>
      </c>
      <c r="O7" s="11">
        <v>107139</v>
      </c>
      <c r="P7" s="11">
        <v>244080</v>
      </c>
      <c r="Q7" s="11">
        <v>105525</v>
      </c>
      <c r="R7" s="11">
        <v>19455</v>
      </c>
      <c r="S7" s="11">
        <v>40121</v>
      </c>
      <c r="T7" s="11">
        <v>15946</v>
      </c>
      <c r="U7" s="11">
        <v>32077</v>
      </c>
      <c r="V7" s="11">
        <v>205281</v>
      </c>
      <c r="W7" s="11">
        <v>298740</v>
      </c>
      <c r="X7" s="11">
        <v>176966</v>
      </c>
      <c r="Y7" s="11">
        <v>4209</v>
      </c>
      <c r="Z7" s="11">
        <v>61503</v>
      </c>
      <c r="AA7" s="11">
        <v>10367</v>
      </c>
      <c r="AB7" s="11">
        <v>29054</v>
      </c>
      <c r="AC7" s="11">
        <v>41696</v>
      </c>
      <c r="AD7" s="11">
        <v>65637</v>
      </c>
      <c r="AE7" s="11">
        <v>25465</v>
      </c>
      <c r="AF7" s="11">
        <v>140533</v>
      </c>
      <c r="AG7" s="11">
        <v>609960</v>
      </c>
      <c r="AH7" s="39">
        <v>109630</v>
      </c>
      <c r="AI7" s="11">
        <v>56157</v>
      </c>
      <c r="AJ7" s="12">
        <f t="shared" si="0"/>
        <v>2880364.9699999997</v>
      </c>
    </row>
    <row r="8" spans="1:36" x14ac:dyDescent="0.25">
      <c r="A8" s="29" t="s">
        <v>230</v>
      </c>
      <c r="B8" s="11">
        <v>2434</v>
      </c>
      <c r="C8" s="11">
        <v>1787</v>
      </c>
      <c r="D8" s="11">
        <v>4135</v>
      </c>
      <c r="E8" s="11">
        <v>31074</v>
      </c>
      <c r="F8" s="11">
        <v>30960</v>
      </c>
      <c r="G8" s="11">
        <v>7752</v>
      </c>
      <c r="H8" s="11">
        <v>7184</v>
      </c>
      <c r="I8" s="11">
        <v>2818</v>
      </c>
      <c r="J8" s="11">
        <v>2152</v>
      </c>
      <c r="K8" s="11">
        <v>3007</v>
      </c>
      <c r="L8" s="11">
        <v>30351.86</v>
      </c>
      <c r="M8" s="11">
        <v>60497</v>
      </c>
      <c r="N8" s="11"/>
      <c r="O8" s="11">
        <v>40617</v>
      </c>
      <c r="P8" s="11">
        <v>124633</v>
      </c>
      <c r="Q8" s="11">
        <v>29387</v>
      </c>
      <c r="R8" s="11">
        <v>4638</v>
      </c>
      <c r="S8" s="11">
        <v>34940</v>
      </c>
      <c r="T8" s="11">
        <v>6860</v>
      </c>
      <c r="U8" s="11">
        <v>40631</v>
      </c>
      <c r="V8" s="11">
        <v>13966</v>
      </c>
      <c r="W8" s="11">
        <v>121847</v>
      </c>
      <c r="X8" s="11">
        <v>51011</v>
      </c>
      <c r="Y8" s="11">
        <v>3198</v>
      </c>
      <c r="Z8" s="11">
        <v>63866</v>
      </c>
      <c r="AA8" s="11">
        <v>1351</v>
      </c>
      <c r="AB8" s="11">
        <v>8194</v>
      </c>
      <c r="AC8" s="11">
        <v>12980</v>
      </c>
      <c r="AD8" s="11">
        <v>62083</v>
      </c>
      <c r="AE8" s="11">
        <v>10477</v>
      </c>
      <c r="AF8" s="11">
        <v>43083</v>
      </c>
      <c r="AG8" s="11">
        <v>6502</v>
      </c>
      <c r="AH8" s="39">
        <v>56134</v>
      </c>
      <c r="AI8" s="11">
        <v>38730</v>
      </c>
      <c r="AJ8" s="12">
        <f t="shared" si="0"/>
        <v>959279.86</v>
      </c>
    </row>
    <row r="9" spans="1:36" x14ac:dyDescent="0.25">
      <c r="A9" s="29" t="s">
        <v>231</v>
      </c>
      <c r="B9" s="11">
        <v>660</v>
      </c>
      <c r="C9" s="11">
        <v>11274</v>
      </c>
      <c r="D9" s="11">
        <v>2895</v>
      </c>
      <c r="E9" s="11">
        <v>4322</v>
      </c>
      <c r="F9" s="11">
        <v>64132</v>
      </c>
      <c r="G9" s="11">
        <v>6307</v>
      </c>
      <c r="H9" s="11">
        <v>12522</v>
      </c>
      <c r="I9" s="11">
        <v>13682</v>
      </c>
      <c r="J9" s="11">
        <v>308</v>
      </c>
      <c r="K9" s="11">
        <v>4659</v>
      </c>
      <c r="L9" s="11">
        <v>3262.27</v>
      </c>
      <c r="M9" s="11">
        <v>32442</v>
      </c>
      <c r="N9" s="11">
        <v>642</v>
      </c>
      <c r="O9" s="11">
        <v>31460</v>
      </c>
      <c r="P9" s="11">
        <v>25368</v>
      </c>
      <c r="Q9" s="11">
        <v>19237</v>
      </c>
      <c r="R9" s="11">
        <v>1718</v>
      </c>
      <c r="S9" s="11">
        <v>8253</v>
      </c>
      <c r="T9" s="11">
        <v>3528</v>
      </c>
      <c r="U9" s="11">
        <v>7316</v>
      </c>
      <c r="V9" s="11">
        <v>43659</v>
      </c>
      <c r="W9" s="11">
        <v>84202</v>
      </c>
      <c r="X9" s="11">
        <v>31397</v>
      </c>
      <c r="Y9" s="11">
        <v>187</v>
      </c>
      <c r="Z9" s="11">
        <v>18571</v>
      </c>
      <c r="AA9" s="11">
        <v>217</v>
      </c>
      <c r="AB9" s="11">
        <v>7656</v>
      </c>
      <c r="AC9" s="11">
        <v>14370</v>
      </c>
      <c r="AD9" s="11">
        <v>46465</v>
      </c>
      <c r="AE9" s="11">
        <v>7418</v>
      </c>
      <c r="AF9" s="11">
        <v>24996</v>
      </c>
      <c r="AG9" s="11">
        <v>27550</v>
      </c>
      <c r="AH9" s="39">
        <v>34341</v>
      </c>
      <c r="AI9" s="11">
        <v>7512</v>
      </c>
      <c r="AJ9" s="12">
        <f t="shared" si="0"/>
        <v>602528.27</v>
      </c>
    </row>
    <row r="10" spans="1:36" x14ac:dyDescent="0.25">
      <c r="A10" s="29" t="s">
        <v>232</v>
      </c>
      <c r="B10" s="11">
        <v>2631</v>
      </c>
      <c r="C10" s="11">
        <v>8452</v>
      </c>
      <c r="D10" s="11">
        <v>2292</v>
      </c>
      <c r="E10" s="11">
        <v>15976</v>
      </c>
      <c r="F10" s="11">
        <v>86808</v>
      </c>
      <c r="G10" s="11">
        <v>56665</v>
      </c>
      <c r="H10" s="11">
        <v>21307</v>
      </c>
      <c r="I10" s="11">
        <v>17475</v>
      </c>
      <c r="J10" s="11">
        <v>1656</v>
      </c>
      <c r="K10" s="11">
        <v>1488</v>
      </c>
      <c r="L10" s="11">
        <v>3436.01</v>
      </c>
      <c r="M10" s="11">
        <v>22875</v>
      </c>
      <c r="N10" s="11">
        <v>1511</v>
      </c>
      <c r="O10" s="11">
        <v>12210</v>
      </c>
      <c r="P10" s="11">
        <v>124387</v>
      </c>
      <c r="Q10" s="11">
        <v>23834</v>
      </c>
      <c r="R10" s="11">
        <v>2500</v>
      </c>
      <c r="S10" s="11">
        <v>36324</v>
      </c>
      <c r="T10" s="11">
        <v>3950</v>
      </c>
      <c r="U10" s="11">
        <v>20511</v>
      </c>
      <c r="V10" s="11">
        <v>99573</v>
      </c>
      <c r="W10" s="11">
        <v>49147</v>
      </c>
      <c r="X10" s="11">
        <v>22055</v>
      </c>
      <c r="Y10" s="11">
        <v>925</v>
      </c>
      <c r="Z10" s="11">
        <v>43810</v>
      </c>
      <c r="AA10" s="11">
        <v>1867</v>
      </c>
      <c r="AB10" s="11">
        <v>23193</v>
      </c>
      <c r="AC10" s="11">
        <v>22454</v>
      </c>
      <c r="AD10" s="11">
        <v>50155</v>
      </c>
      <c r="AE10" s="11">
        <v>10432</v>
      </c>
      <c r="AF10" s="11">
        <v>28296</v>
      </c>
      <c r="AG10" s="11">
        <v>62075</v>
      </c>
      <c r="AH10" s="39">
        <v>65294</v>
      </c>
      <c r="AI10" s="11">
        <v>11313</v>
      </c>
      <c r="AJ10" s="12">
        <f t="shared" si="0"/>
        <v>956877.01</v>
      </c>
    </row>
    <row r="11" spans="1:36" x14ac:dyDescent="0.25">
      <c r="A11" s="29" t="s">
        <v>233</v>
      </c>
      <c r="B11" s="11">
        <v>22494</v>
      </c>
      <c r="C11" s="11">
        <v>18210</v>
      </c>
      <c r="D11" s="11">
        <v>435</v>
      </c>
      <c r="E11" s="11">
        <v>30549</v>
      </c>
      <c r="F11" s="11">
        <v>27307</v>
      </c>
      <c r="G11" s="11">
        <v>38764</v>
      </c>
      <c r="H11" s="11">
        <v>38394</v>
      </c>
      <c r="I11" s="11">
        <v>73666</v>
      </c>
      <c r="J11" s="11">
        <v>62476</v>
      </c>
      <c r="K11" s="11">
        <v>16551</v>
      </c>
      <c r="L11" s="11">
        <v>4828.5600000000004</v>
      </c>
      <c r="M11" s="11">
        <v>124131</v>
      </c>
      <c r="N11" s="11">
        <v>2080</v>
      </c>
      <c r="O11" s="11">
        <v>696153</v>
      </c>
      <c r="P11" s="11">
        <v>322240</v>
      </c>
      <c r="Q11" s="11">
        <v>131711</v>
      </c>
      <c r="R11" s="11">
        <v>14966</v>
      </c>
      <c r="S11" s="11">
        <v>48651</v>
      </c>
      <c r="T11" s="11">
        <v>20773</v>
      </c>
      <c r="U11" s="11">
        <v>169433</v>
      </c>
      <c r="V11" s="11">
        <v>32254</v>
      </c>
      <c r="W11" s="11">
        <v>157501</v>
      </c>
      <c r="X11" s="11">
        <v>6998</v>
      </c>
      <c r="Y11" s="11">
        <v>2465</v>
      </c>
      <c r="Z11" s="11">
        <v>24860</v>
      </c>
      <c r="AA11" s="11">
        <v>2364</v>
      </c>
      <c r="AB11" s="11">
        <v>106941</v>
      </c>
      <c r="AC11" s="11">
        <v>2250</v>
      </c>
      <c r="AD11" s="11">
        <v>178514</v>
      </c>
      <c r="AE11" s="11">
        <v>51383</v>
      </c>
      <c r="AF11" s="11">
        <v>34090</v>
      </c>
      <c r="AG11" s="11">
        <v>789828</v>
      </c>
      <c r="AH11" s="39">
        <v>27849</v>
      </c>
      <c r="AI11" s="11">
        <v>33143</v>
      </c>
      <c r="AJ11" s="12">
        <f t="shared" si="0"/>
        <v>3314252.56</v>
      </c>
    </row>
    <row r="12" spans="1:36" x14ac:dyDescent="0.25">
      <c r="A12" s="29" t="s">
        <v>234</v>
      </c>
      <c r="B12" s="11">
        <v>382549</v>
      </c>
      <c r="C12" s="11">
        <v>176403</v>
      </c>
      <c r="D12" s="11">
        <v>3155</v>
      </c>
      <c r="E12" s="11">
        <v>478771</v>
      </c>
      <c r="F12" s="11">
        <v>116082</v>
      </c>
      <c r="G12" s="11">
        <v>735115</v>
      </c>
      <c r="H12" s="11">
        <v>184797</v>
      </c>
      <c r="I12" s="11">
        <v>142768</v>
      </c>
      <c r="J12" s="11">
        <v>74659</v>
      </c>
      <c r="K12" s="11">
        <v>24586</v>
      </c>
      <c r="L12" s="11">
        <v>6676.72</v>
      </c>
      <c r="M12" s="11">
        <v>181601</v>
      </c>
      <c r="N12" s="11">
        <v>292114</v>
      </c>
      <c r="O12" s="11">
        <v>896710</v>
      </c>
      <c r="P12" s="11">
        <v>735180</v>
      </c>
      <c r="Q12" s="11">
        <v>231922</v>
      </c>
      <c r="R12" s="11">
        <v>36369</v>
      </c>
      <c r="S12" s="11">
        <v>215674</v>
      </c>
      <c r="T12" s="11">
        <v>352586</v>
      </c>
      <c r="U12" s="11">
        <v>132561</v>
      </c>
      <c r="V12" s="11">
        <v>76188</v>
      </c>
      <c r="W12" s="11">
        <v>98982</v>
      </c>
      <c r="X12" s="11">
        <v>27015</v>
      </c>
      <c r="Y12" s="11">
        <v>87805</v>
      </c>
      <c r="Z12" s="11">
        <v>1544687</v>
      </c>
      <c r="AA12" s="11">
        <v>19688</v>
      </c>
      <c r="AB12" s="11">
        <v>125110</v>
      </c>
      <c r="AC12" s="11">
        <v>47086</v>
      </c>
      <c r="AD12" s="11">
        <v>156619</v>
      </c>
      <c r="AE12" s="11">
        <v>340</v>
      </c>
      <c r="AF12" s="11">
        <v>48459</v>
      </c>
      <c r="AG12" s="11">
        <v>964736</v>
      </c>
      <c r="AH12" s="39">
        <v>34313</v>
      </c>
      <c r="AI12" s="11">
        <v>13576</v>
      </c>
      <c r="AJ12" s="12">
        <f t="shared" si="0"/>
        <v>8644882.7200000007</v>
      </c>
    </row>
    <row r="13" spans="1:36" x14ac:dyDescent="0.25">
      <c r="A13" s="29" t="s">
        <v>235</v>
      </c>
      <c r="B13" s="11">
        <v>3766</v>
      </c>
      <c r="C13" s="11">
        <v>1719</v>
      </c>
      <c r="D13" s="11"/>
      <c r="E13" s="11">
        <v>18194</v>
      </c>
      <c r="F13" s="11">
        <v>55831</v>
      </c>
      <c r="G13" s="11">
        <v>8027</v>
      </c>
      <c r="H13" s="11">
        <v>15372</v>
      </c>
      <c r="I13" s="11">
        <v>4678</v>
      </c>
      <c r="J13" s="11">
        <v>1686</v>
      </c>
      <c r="K13" s="11">
        <v>242</v>
      </c>
      <c r="L13" s="11">
        <v>127.12</v>
      </c>
      <c r="M13" s="11">
        <v>11931</v>
      </c>
      <c r="N13" s="11">
        <v>3373</v>
      </c>
      <c r="O13" s="11">
        <v>90395</v>
      </c>
      <c r="P13" s="11">
        <v>95830</v>
      </c>
      <c r="Q13" s="11">
        <v>26206</v>
      </c>
      <c r="R13" s="11">
        <v>2329</v>
      </c>
      <c r="S13" s="11">
        <v>2105</v>
      </c>
      <c r="T13" s="11">
        <v>8696</v>
      </c>
      <c r="U13" s="11">
        <v>9421</v>
      </c>
      <c r="V13" s="11">
        <v>54140</v>
      </c>
      <c r="W13" s="11">
        <v>20254</v>
      </c>
      <c r="X13" s="11">
        <v>8380</v>
      </c>
      <c r="Y13" s="11">
        <v>688</v>
      </c>
      <c r="Z13" s="11">
        <v>32174</v>
      </c>
      <c r="AA13" s="11">
        <v>405</v>
      </c>
      <c r="AB13" s="11">
        <v>7784</v>
      </c>
      <c r="AC13" s="11">
        <v>10397</v>
      </c>
      <c r="AD13" s="11">
        <v>2955</v>
      </c>
      <c r="AE13" s="11">
        <v>28827</v>
      </c>
      <c r="AF13" s="11">
        <v>24224</v>
      </c>
      <c r="AG13" s="11">
        <v>40078</v>
      </c>
      <c r="AH13" s="39">
        <v>54843</v>
      </c>
      <c r="AI13" s="11">
        <v>4046</v>
      </c>
      <c r="AJ13" s="12">
        <f t="shared" si="0"/>
        <v>649123.12</v>
      </c>
    </row>
    <row r="14" spans="1:36" x14ac:dyDescent="0.25">
      <c r="A14" s="30" t="s">
        <v>46</v>
      </c>
      <c r="B14" s="11">
        <f>B17-B16-B15-B13-B12-B11-B10-B9-B8-B7-B6-B5-B4</f>
        <v>80456</v>
      </c>
      <c r="C14" s="11">
        <f t="shared" ref="C14:AI14" si="1">C17-C16-C15-C13-C12-C11-C10-C9-C8-C7-C6-C5-C4</f>
        <v>96698</v>
      </c>
      <c r="D14" s="11">
        <f t="shared" si="1"/>
        <v>129194</v>
      </c>
      <c r="E14" s="11">
        <f t="shared" si="1"/>
        <v>279145</v>
      </c>
      <c r="F14" s="11">
        <f t="shared" si="1"/>
        <v>2559366</v>
      </c>
      <c r="G14" s="11">
        <f t="shared" si="1"/>
        <v>196788</v>
      </c>
      <c r="H14" s="11">
        <f t="shared" si="1"/>
        <v>1846426</v>
      </c>
      <c r="I14" s="11">
        <f t="shared" si="1"/>
        <v>79020</v>
      </c>
      <c r="J14" s="11">
        <f t="shared" si="1"/>
        <v>15916</v>
      </c>
      <c r="K14" s="11">
        <f t="shared" si="1"/>
        <v>27127</v>
      </c>
      <c r="L14" s="11">
        <f t="shared" si="1"/>
        <v>25881.75</v>
      </c>
      <c r="M14" s="11">
        <f t="shared" si="1"/>
        <v>749322</v>
      </c>
      <c r="N14" s="11">
        <f t="shared" si="1"/>
        <v>117570</v>
      </c>
      <c r="O14" s="11">
        <f t="shared" si="1"/>
        <v>230184</v>
      </c>
      <c r="P14" s="11">
        <f t="shared" si="1"/>
        <v>1674832</v>
      </c>
      <c r="Q14" s="11">
        <f t="shared" si="1"/>
        <v>114237</v>
      </c>
      <c r="R14" s="11">
        <f t="shared" si="1"/>
        <v>45023</v>
      </c>
      <c r="S14" s="11">
        <f t="shared" si="1"/>
        <v>299309</v>
      </c>
      <c r="T14" s="11">
        <f t="shared" si="1"/>
        <v>111014</v>
      </c>
      <c r="U14" s="11">
        <f t="shared" si="1"/>
        <v>5379</v>
      </c>
      <c r="V14" s="11">
        <f t="shared" si="1"/>
        <v>899653</v>
      </c>
      <c r="W14" s="11">
        <f t="shared" si="1"/>
        <v>1605561</v>
      </c>
      <c r="X14" s="11">
        <f t="shared" si="1"/>
        <v>324737</v>
      </c>
      <c r="Y14" s="11">
        <f t="shared" si="1"/>
        <v>2528</v>
      </c>
      <c r="Z14" s="11">
        <f t="shared" si="1"/>
        <v>237231</v>
      </c>
      <c r="AA14" s="11">
        <f t="shared" si="1"/>
        <v>38405</v>
      </c>
      <c r="AB14" s="11">
        <f t="shared" si="1"/>
        <v>28926</v>
      </c>
      <c r="AC14" s="11">
        <f t="shared" si="1"/>
        <v>354754</v>
      </c>
      <c r="AD14" s="11">
        <f t="shared" si="1"/>
        <v>275404</v>
      </c>
      <c r="AE14" s="11">
        <f t="shared" si="1"/>
        <v>462448</v>
      </c>
      <c r="AF14" s="11">
        <f t="shared" si="1"/>
        <v>-253829</v>
      </c>
      <c r="AG14" s="11">
        <f t="shared" si="1"/>
        <v>574305</v>
      </c>
      <c r="AH14" s="11">
        <f t="shared" si="1"/>
        <v>614971</v>
      </c>
      <c r="AI14" s="11">
        <f t="shared" si="1"/>
        <v>100622</v>
      </c>
      <c r="AJ14" s="12">
        <f t="shared" si="0"/>
        <v>13948603.75</v>
      </c>
    </row>
    <row r="15" spans="1:36" x14ac:dyDescent="0.25">
      <c r="A15" s="29" t="s">
        <v>236</v>
      </c>
      <c r="B15" s="11">
        <v>2167</v>
      </c>
      <c r="C15" s="11">
        <v>41270</v>
      </c>
      <c r="D15" s="11">
        <v>159310</v>
      </c>
      <c r="E15" s="11">
        <v>34859</v>
      </c>
      <c r="F15" s="11">
        <v>112653</v>
      </c>
      <c r="G15" s="11">
        <v>23281</v>
      </c>
      <c r="H15" s="11">
        <v>56983</v>
      </c>
      <c r="I15" s="11">
        <v>7874</v>
      </c>
      <c r="J15" s="11">
        <v>29245</v>
      </c>
      <c r="K15" s="11">
        <v>6816</v>
      </c>
      <c r="L15" s="11">
        <v>11613.81</v>
      </c>
      <c r="M15" s="11">
        <v>24935</v>
      </c>
      <c r="N15" s="11">
        <v>4708</v>
      </c>
      <c r="O15" s="11">
        <v>85888</v>
      </c>
      <c r="P15" s="11">
        <v>151154</v>
      </c>
      <c r="Q15" s="11">
        <v>49502</v>
      </c>
      <c r="R15" s="11">
        <v>9989</v>
      </c>
      <c r="S15" s="11">
        <v>37436</v>
      </c>
      <c r="T15" s="11">
        <v>18689</v>
      </c>
      <c r="U15" s="11">
        <v>43750</v>
      </c>
      <c r="V15" s="11">
        <v>162172</v>
      </c>
      <c r="W15" s="11">
        <v>235897</v>
      </c>
      <c r="X15" s="11">
        <v>137954</v>
      </c>
      <c r="Y15" s="11">
        <v>3089</v>
      </c>
      <c r="Z15" s="11">
        <v>41776</v>
      </c>
      <c r="AA15" s="11">
        <v>31333</v>
      </c>
      <c r="AB15" s="11">
        <v>43351</v>
      </c>
      <c r="AC15" s="11">
        <v>29763</v>
      </c>
      <c r="AD15" s="11">
        <v>107211</v>
      </c>
      <c r="AE15" s="11">
        <v>12060</v>
      </c>
      <c r="AF15" s="11">
        <v>66116</v>
      </c>
      <c r="AG15" s="11">
        <v>33023</v>
      </c>
      <c r="AH15" s="39">
        <v>136033</v>
      </c>
      <c r="AI15" s="11">
        <v>28554</v>
      </c>
      <c r="AJ15" s="12">
        <f t="shared" si="0"/>
        <v>1980454.81</v>
      </c>
    </row>
    <row r="16" spans="1:36" x14ac:dyDescent="0.25">
      <c r="A16" s="29" t="s">
        <v>237</v>
      </c>
      <c r="B16" s="11"/>
      <c r="C16" s="11"/>
      <c r="D16" s="11">
        <v>12003</v>
      </c>
      <c r="E16" s="11">
        <v>2216</v>
      </c>
      <c r="F16" s="11">
        <v>19851</v>
      </c>
      <c r="G16" s="11"/>
      <c r="H16" s="11">
        <v>12500</v>
      </c>
      <c r="I16" s="11"/>
      <c r="J16" s="11">
        <v>115</v>
      </c>
      <c r="K16" s="11">
        <v>388</v>
      </c>
      <c r="L16" s="11"/>
      <c r="M16" s="11">
        <v>10008</v>
      </c>
      <c r="N16" s="11">
        <v>705</v>
      </c>
      <c r="O16" s="11"/>
      <c r="P16" s="11"/>
      <c r="Q16" s="11">
        <v>10892</v>
      </c>
      <c r="R16" s="11"/>
      <c r="S16" s="11"/>
      <c r="T16" s="11"/>
      <c r="U16" s="11">
        <v>273</v>
      </c>
      <c r="V16" s="11">
        <v>2379</v>
      </c>
      <c r="W16" s="11">
        <v>348286</v>
      </c>
      <c r="X16" s="11"/>
      <c r="Y16" s="11"/>
      <c r="Z16" s="11"/>
      <c r="AA16" s="11"/>
      <c r="AB16" s="11"/>
      <c r="AC16" s="11">
        <v>1682</v>
      </c>
      <c r="AD16" s="11"/>
      <c r="AE16" s="11"/>
      <c r="AF16" s="11"/>
      <c r="AG16" s="11"/>
      <c r="AH16" s="11"/>
      <c r="AI16" s="11"/>
      <c r="AJ16" s="12">
        <f t="shared" si="0"/>
        <v>421298</v>
      </c>
    </row>
    <row r="17" spans="1:36" s="9" customFormat="1" x14ac:dyDescent="0.25">
      <c r="A17" s="4" t="s">
        <v>57</v>
      </c>
      <c r="B17" s="12">
        <v>607882</v>
      </c>
      <c r="C17" s="12">
        <v>914846</v>
      </c>
      <c r="D17" s="12">
        <v>472442</v>
      </c>
      <c r="E17" s="12">
        <v>1547663</v>
      </c>
      <c r="F17" s="12">
        <v>5708455</v>
      </c>
      <c r="G17" s="12">
        <v>1725507</v>
      </c>
      <c r="H17" s="12">
        <v>2581797</v>
      </c>
      <c r="I17" s="12">
        <v>756876</v>
      </c>
      <c r="J17" s="12">
        <v>322366</v>
      </c>
      <c r="K17" s="12">
        <v>192514</v>
      </c>
      <c r="L17" s="12">
        <v>499308.36</v>
      </c>
      <c r="M17" s="12">
        <v>1824701</v>
      </c>
      <c r="N17" s="12">
        <v>590508</v>
      </c>
      <c r="O17" s="12">
        <v>3273458</v>
      </c>
      <c r="P17" s="12">
        <v>5410002</v>
      </c>
      <c r="Q17" s="12">
        <v>1522033</v>
      </c>
      <c r="R17" s="12">
        <v>304837</v>
      </c>
      <c r="S17" s="12">
        <v>1119094</v>
      </c>
      <c r="T17" s="12">
        <v>815542</v>
      </c>
      <c r="U17" s="12">
        <v>933821</v>
      </c>
      <c r="V17" s="12">
        <v>6048026</v>
      </c>
      <c r="W17" s="12">
        <v>9641218</v>
      </c>
      <c r="X17" s="12">
        <v>5618078</v>
      </c>
      <c r="Y17" s="12">
        <v>175801</v>
      </c>
      <c r="Z17" s="12">
        <v>3105650</v>
      </c>
      <c r="AA17" s="12">
        <v>210715</v>
      </c>
      <c r="AB17" s="12">
        <v>1147168</v>
      </c>
      <c r="AC17" s="12">
        <v>1029472</v>
      </c>
      <c r="AD17" s="12">
        <v>1788560</v>
      </c>
      <c r="AE17" s="12">
        <v>863155</v>
      </c>
      <c r="AF17" s="12">
        <v>1990983</v>
      </c>
      <c r="AG17" s="12">
        <v>4372418</v>
      </c>
      <c r="AH17" s="12">
        <v>5475280</v>
      </c>
      <c r="AI17" s="12">
        <v>488289</v>
      </c>
      <c r="AJ17" s="12">
        <f t="shared" si="0"/>
        <v>73078465.359999999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customWidth="1"/>
    <col min="2" max="35" width="16" customWidth="1"/>
    <col min="36" max="36" width="16" style="5" customWidth="1"/>
  </cols>
  <sheetData>
    <row r="1" spans="1:36" ht="18.75" x14ac:dyDescent="0.3">
      <c r="A1" s="10" t="s">
        <v>49</v>
      </c>
    </row>
    <row r="2" spans="1:36" x14ac:dyDescent="0.25">
      <c r="A2" s="8" t="s">
        <v>48</v>
      </c>
    </row>
    <row r="3" spans="1:36" x14ac:dyDescent="0.25">
      <c r="A3" s="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2" t="s">
        <v>32</v>
      </c>
      <c r="AH3" s="2" t="s">
        <v>33</v>
      </c>
      <c r="AI3" s="22" t="s">
        <v>34</v>
      </c>
      <c r="AJ3" s="22" t="s">
        <v>35</v>
      </c>
    </row>
    <row r="4" spans="1:36" x14ac:dyDescent="0.25">
      <c r="A4" s="11" t="s">
        <v>50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>
        <v>575</v>
      </c>
      <c r="X4" s="39">
        <v>2565</v>
      </c>
      <c r="Y4" s="39"/>
      <c r="Z4" s="39"/>
      <c r="AA4" s="39"/>
      <c r="AB4" s="39"/>
      <c r="AC4" s="39"/>
      <c r="AD4" s="39"/>
      <c r="AE4" s="39"/>
      <c r="AF4" s="39"/>
      <c r="AG4" s="39"/>
      <c r="AH4">
        <v>13589</v>
      </c>
      <c r="AI4" s="39"/>
      <c r="AJ4" s="40">
        <f>SUM(B4:AI4)</f>
        <v>16729</v>
      </c>
    </row>
    <row r="5" spans="1:36" x14ac:dyDescent="0.25">
      <c r="A5" s="11" t="s">
        <v>51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>
        <f t="shared" ref="AJ5:AJ11" si="0">SUM(B5:AI5)</f>
        <v>0</v>
      </c>
    </row>
    <row r="6" spans="1:36" x14ac:dyDescent="0.25">
      <c r="A6" s="11" t="s">
        <v>52</v>
      </c>
      <c r="B6" s="39"/>
      <c r="C6" s="39">
        <v>5610222</v>
      </c>
      <c r="D6" s="39"/>
      <c r="E6" s="39">
        <v>3457824</v>
      </c>
      <c r="F6" s="39">
        <v>1666197</v>
      </c>
      <c r="G6" s="39">
        <v>1720185</v>
      </c>
      <c r="H6" s="39">
        <v>1432645</v>
      </c>
      <c r="I6" s="11">
        <v>3271040</v>
      </c>
      <c r="J6" s="39"/>
      <c r="K6" s="39"/>
      <c r="L6" s="39"/>
      <c r="M6" s="39"/>
      <c r="N6" s="39">
        <v>2604348</v>
      </c>
      <c r="O6" s="39">
        <v>8403217</v>
      </c>
      <c r="P6" s="39">
        <v>15710309</v>
      </c>
      <c r="Q6" s="39">
        <v>4519821</v>
      </c>
      <c r="R6" s="39"/>
      <c r="S6" s="39">
        <v>3491250</v>
      </c>
      <c r="T6" s="39">
        <v>2381367</v>
      </c>
      <c r="U6" s="39"/>
      <c r="V6" s="39"/>
      <c r="W6" s="39">
        <v>18908542</v>
      </c>
      <c r="X6" s="39"/>
      <c r="Y6" s="39"/>
      <c r="Z6" s="39">
        <v>7667050</v>
      </c>
      <c r="AA6" s="39"/>
      <c r="AB6" s="39">
        <v>191306</v>
      </c>
      <c r="AC6" s="39">
        <v>2550000</v>
      </c>
      <c r="AD6" s="39">
        <v>13326000</v>
      </c>
      <c r="AE6" s="39">
        <v>1393</v>
      </c>
      <c r="AF6" s="39">
        <v>8993211</v>
      </c>
      <c r="AG6" s="39">
        <v>4705428</v>
      </c>
      <c r="AH6">
        <v>24308713</v>
      </c>
      <c r="AI6" s="39">
        <v>1676182</v>
      </c>
      <c r="AJ6" s="40">
        <f t="shared" si="0"/>
        <v>136596250</v>
      </c>
    </row>
    <row r="7" spans="1:36" x14ac:dyDescent="0.25">
      <c r="A7" s="11" t="s">
        <v>53</v>
      </c>
      <c r="B7" s="39"/>
      <c r="C7" s="39"/>
      <c r="D7" s="39">
        <v>37670953</v>
      </c>
      <c r="E7" s="39"/>
      <c r="F7" s="39"/>
      <c r="G7" s="39"/>
      <c r="H7" s="39">
        <v>5347567</v>
      </c>
      <c r="I7" s="39"/>
      <c r="J7" s="39"/>
      <c r="K7" s="39"/>
      <c r="L7" s="39">
        <v>23310782.899999999</v>
      </c>
      <c r="M7" s="39"/>
      <c r="N7" s="39"/>
      <c r="O7" s="39"/>
      <c r="P7" s="39">
        <v>333642</v>
      </c>
      <c r="Q7" s="39"/>
      <c r="R7" s="39"/>
      <c r="S7" s="39"/>
      <c r="T7" s="39"/>
      <c r="U7" s="39"/>
      <c r="V7" s="11">
        <v>789261</v>
      </c>
      <c r="W7" s="39">
        <v>121741125</v>
      </c>
      <c r="X7" s="39">
        <f>26627713-1424170</f>
        <v>25203543</v>
      </c>
      <c r="Y7" s="39"/>
      <c r="Z7" s="39"/>
      <c r="AA7" s="39"/>
      <c r="AB7" s="39"/>
      <c r="AC7" s="39"/>
      <c r="AD7" s="39"/>
      <c r="AE7" s="39"/>
      <c r="AF7" s="39"/>
      <c r="AG7" s="39">
        <v>151237</v>
      </c>
      <c r="AH7" s="39"/>
      <c r="AI7" s="39"/>
      <c r="AJ7" s="40">
        <f t="shared" si="0"/>
        <v>214548110.90000001</v>
      </c>
    </row>
    <row r="8" spans="1:36" x14ac:dyDescent="0.25">
      <c r="A8" s="11" t="s">
        <v>54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11">
        <v>16561</v>
      </c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>
        <v>8628</v>
      </c>
      <c r="AI8" s="39"/>
      <c r="AJ8" s="40">
        <f t="shared" si="0"/>
        <v>25189</v>
      </c>
    </row>
    <row r="9" spans="1:36" x14ac:dyDescent="0.25">
      <c r="A9" s="11" t="s">
        <v>55</v>
      </c>
      <c r="B9" s="39">
        <f>B11-B10-B8-B7-B6-B5-B4</f>
        <v>0</v>
      </c>
      <c r="C9" s="39">
        <f t="shared" ref="C9:AI9" si="1">C11-C10-C8-C7-C6-C5-C4</f>
        <v>0</v>
      </c>
      <c r="D9" s="39">
        <f t="shared" si="1"/>
        <v>0</v>
      </c>
      <c r="E9" s="39">
        <f t="shared" si="1"/>
        <v>40568</v>
      </c>
      <c r="F9" s="39">
        <f t="shared" si="1"/>
        <v>0</v>
      </c>
      <c r="G9" s="39">
        <f t="shared" si="1"/>
        <v>0</v>
      </c>
      <c r="H9" s="39">
        <f t="shared" si="1"/>
        <v>200000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600000</v>
      </c>
      <c r="M9" s="39">
        <f t="shared" si="1"/>
        <v>0</v>
      </c>
      <c r="N9" s="39">
        <f t="shared" si="1"/>
        <v>0</v>
      </c>
      <c r="O9" s="39">
        <f t="shared" si="1"/>
        <v>315900</v>
      </c>
      <c r="P9" s="39">
        <f t="shared" si="1"/>
        <v>277144</v>
      </c>
      <c r="Q9" s="39">
        <f t="shared" si="1"/>
        <v>1166</v>
      </c>
      <c r="R9" s="39">
        <f t="shared" si="1"/>
        <v>0</v>
      </c>
      <c r="S9" s="39">
        <f t="shared" si="1"/>
        <v>0</v>
      </c>
      <c r="T9" s="39">
        <f t="shared" si="1"/>
        <v>0</v>
      </c>
      <c r="U9" s="39">
        <f t="shared" si="1"/>
        <v>0</v>
      </c>
      <c r="V9" s="39">
        <f t="shared" si="1"/>
        <v>142200</v>
      </c>
      <c r="W9" s="39">
        <f t="shared" si="1"/>
        <v>14770614</v>
      </c>
      <c r="X9" s="39">
        <f t="shared" si="1"/>
        <v>0</v>
      </c>
      <c r="Y9" s="39">
        <f t="shared" si="1"/>
        <v>0</v>
      </c>
      <c r="Z9" s="39">
        <f t="shared" si="1"/>
        <v>207639</v>
      </c>
      <c r="AA9" s="39">
        <f t="shared" si="1"/>
        <v>0</v>
      </c>
      <c r="AB9" s="39">
        <f t="shared" si="1"/>
        <v>216807</v>
      </c>
      <c r="AC9" s="39">
        <f t="shared" si="1"/>
        <v>0</v>
      </c>
      <c r="AD9" s="39">
        <f t="shared" si="1"/>
        <v>0</v>
      </c>
      <c r="AE9" s="39">
        <f t="shared" si="1"/>
        <v>0</v>
      </c>
      <c r="AF9" s="39">
        <f t="shared" si="1"/>
        <v>125000</v>
      </c>
      <c r="AG9" s="39">
        <f t="shared" si="1"/>
        <v>445000</v>
      </c>
      <c r="AH9" s="39">
        <f t="shared" si="1"/>
        <v>606979</v>
      </c>
      <c r="AI9" s="39">
        <f t="shared" si="1"/>
        <v>0</v>
      </c>
      <c r="AJ9" s="40">
        <f t="shared" si="0"/>
        <v>17949017</v>
      </c>
    </row>
    <row r="10" spans="1:36" x14ac:dyDescent="0.25">
      <c r="A10" s="11" t="s">
        <v>56</v>
      </c>
      <c r="B10" s="39"/>
      <c r="C10" s="39"/>
      <c r="D10" s="39">
        <v>1206719</v>
      </c>
      <c r="E10" s="39"/>
      <c r="F10" s="39">
        <v>50193623</v>
      </c>
      <c r="G10" s="39"/>
      <c r="H10" s="39">
        <v>4797292</v>
      </c>
      <c r="I10" s="39"/>
      <c r="J10" s="39"/>
      <c r="K10" s="39"/>
      <c r="L10" s="39">
        <v>2629757.44</v>
      </c>
      <c r="M10" s="39"/>
      <c r="N10" s="39">
        <v>30137</v>
      </c>
      <c r="O10" s="39">
        <v>5801822</v>
      </c>
      <c r="P10" s="39">
        <v>33531158</v>
      </c>
      <c r="Q10" s="39">
        <v>15445896</v>
      </c>
      <c r="R10" s="39"/>
      <c r="S10" s="39"/>
      <c r="T10" s="39"/>
      <c r="U10" s="39"/>
      <c r="V10" s="39"/>
      <c r="W10" s="39"/>
      <c r="X10" s="39"/>
      <c r="Y10" s="39"/>
      <c r="Z10" s="39">
        <v>6268921</v>
      </c>
      <c r="AA10" s="39"/>
      <c r="AB10" s="39"/>
      <c r="AC10" s="39">
        <v>4491041</v>
      </c>
      <c r="AD10" s="39">
        <v>3292717</v>
      </c>
      <c r="AE10" s="39">
        <v>14896642</v>
      </c>
      <c r="AF10" s="39">
        <v>307356</v>
      </c>
      <c r="AG10" s="39">
        <v>7801251</v>
      </c>
      <c r="AH10" s="39"/>
      <c r="AI10" s="39">
        <v>3672440</v>
      </c>
      <c r="AJ10" s="40">
        <f t="shared" si="0"/>
        <v>154366772.44</v>
      </c>
    </row>
    <row r="11" spans="1:36" s="5" customFormat="1" x14ac:dyDescent="0.25">
      <c r="A11" s="12" t="s">
        <v>57</v>
      </c>
      <c r="B11" s="40"/>
      <c r="C11" s="40">
        <v>5610222</v>
      </c>
      <c r="D11" s="40">
        <v>38877672</v>
      </c>
      <c r="E11" s="40">
        <v>3498392</v>
      </c>
      <c r="F11" s="40">
        <v>51859820</v>
      </c>
      <c r="G11" s="40">
        <v>1720185</v>
      </c>
      <c r="H11" s="40">
        <v>11777504</v>
      </c>
      <c r="I11" s="12">
        <v>3271040</v>
      </c>
      <c r="J11" s="40"/>
      <c r="K11" s="40"/>
      <c r="L11" s="40">
        <v>26540540.34</v>
      </c>
      <c r="M11" s="40"/>
      <c r="N11" s="40">
        <v>2634485</v>
      </c>
      <c r="O11" s="40">
        <v>14520939</v>
      </c>
      <c r="P11" s="40">
        <v>49852253</v>
      </c>
      <c r="Q11" s="40">
        <v>19966883</v>
      </c>
      <c r="R11" s="40"/>
      <c r="S11" s="40">
        <v>3491250</v>
      </c>
      <c r="T11" s="40">
        <v>2381367</v>
      </c>
      <c r="U11" s="40"/>
      <c r="V11" s="78">
        <v>948022</v>
      </c>
      <c r="W11" s="40">
        <v>155420856</v>
      </c>
      <c r="X11" s="40">
        <v>25206108</v>
      </c>
      <c r="Y11" s="40"/>
      <c r="Z11" s="40">
        <v>14143610</v>
      </c>
      <c r="AA11" s="40"/>
      <c r="AB11" s="40">
        <v>408113</v>
      </c>
      <c r="AC11" s="40">
        <v>7041041</v>
      </c>
      <c r="AD11" s="40">
        <v>16618717</v>
      </c>
      <c r="AE11" s="40">
        <v>14898035</v>
      </c>
      <c r="AF11" s="40">
        <v>9425567</v>
      </c>
      <c r="AG11" s="40">
        <v>13102916</v>
      </c>
      <c r="AH11" s="40">
        <v>24937909</v>
      </c>
      <c r="AI11" s="40">
        <v>5348622</v>
      </c>
      <c r="AJ11" s="40">
        <f t="shared" si="0"/>
        <v>523502068.34000003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67" customWidth="1"/>
    <col min="2" max="100" width="14.28515625" style="67" customWidth="1"/>
    <col min="101" max="16384" width="9.140625" style="67"/>
  </cols>
  <sheetData>
    <row r="1" spans="1:100" ht="18.75" x14ac:dyDescent="0.3">
      <c r="A1" s="66" t="s">
        <v>219</v>
      </c>
    </row>
    <row r="2" spans="1:100" x14ac:dyDescent="0.25">
      <c r="A2" s="68" t="s">
        <v>48</v>
      </c>
    </row>
    <row r="3" spans="1:100" x14ac:dyDescent="0.25">
      <c r="A3" s="84" t="s">
        <v>0</v>
      </c>
      <c r="B3" s="83" t="s">
        <v>1</v>
      </c>
      <c r="C3" s="83"/>
      <c r="D3" s="83"/>
      <c r="E3" s="83" t="s">
        <v>2</v>
      </c>
      <c r="F3" s="83"/>
      <c r="G3" s="83"/>
      <c r="H3" s="83" t="s">
        <v>3</v>
      </c>
      <c r="I3" s="83"/>
      <c r="J3" s="83"/>
      <c r="K3" s="83" t="s">
        <v>4</v>
      </c>
      <c r="L3" s="83"/>
      <c r="M3" s="83"/>
      <c r="N3" s="83" t="s">
        <v>5</v>
      </c>
      <c r="O3" s="83"/>
      <c r="P3" s="83"/>
      <c r="Q3" s="83" t="s">
        <v>6</v>
      </c>
      <c r="R3" s="83"/>
      <c r="S3" s="83"/>
      <c r="T3" s="83" t="s">
        <v>7</v>
      </c>
      <c r="U3" s="83"/>
      <c r="V3" s="83"/>
      <c r="W3" s="83" t="s">
        <v>8</v>
      </c>
      <c r="X3" s="83"/>
      <c r="Y3" s="83"/>
      <c r="Z3" s="83" t="s">
        <v>9</v>
      </c>
      <c r="AA3" s="83"/>
      <c r="AB3" s="83"/>
      <c r="AC3" s="83" t="s">
        <v>10</v>
      </c>
      <c r="AD3" s="83"/>
      <c r="AE3" s="83"/>
      <c r="AF3" s="83" t="s">
        <v>11</v>
      </c>
      <c r="AG3" s="83"/>
      <c r="AH3" s="83"/>
      <c r="AI3" s="83" t="s">
        <v>12</v>
      </c>
      <c r="AJ3" s="83"/>
      <c r="AK3" s="83"/>
      <c r="AL3" s="83" t="s">
        <v>13</v>
      </c>
      <c r="AM3" s="83"/>
      <c r="AN3" s="83"/>
      <c r="AO3" s="83" t="s">
        <v>14</v>
      </c>
      <c r="AP3" s="83"/>
      <c r="AQ3" s="83"/>
      <c r="AR3" s="83" t="s">
        <v>15</v>
      </c>
      <c r="AS3" s="83"/>
      <c r="AT3" s="83"/>
      <c r="AU3" s="83" t="s">
        <v>16</v>
      </c>
      <c r="AV3" s="83"/>
      <c r="AW3" s="83"/>
      <c r="AX3" s="83" t="s">
        <v>17</v>
      </c>
      <c r="AY3" s="83"/>
      <c r="AZ3" s="83"/>
      <c r="BA3" s="83" t="s">
        <v>18</v>
      </c>
      <c r="BB3" s="83"/>
      <c r="BC3" s="83"/>
      <c r="BD3" s="83" t="s">
        <v>19</v>
      </c>
      <c r="BE3" s="83"/>
      <c r="BF3" s="83"/>
      <c r="BG3" s="83" t="s">
        <v>20</v>
      </c>
      <c r="BH3" s="83"/>
      <c r="BI3" s="83"/>
      <c r="BJ3" s="83" t="s">
        <v>21</v>
      </c>
      <c r="BK3" s="83"/>
      <c r="BL3" s="83"/>
      <c r="BM3" s="83" t="s">
        <v>22</v>
      </c>
      <c r="BN3" s="83"/>
      <c r="BO3" s="83"/>
      <c r="BP3" s="83" t="s">
        <v>23</v>
      </c>
      <c r="BQ3" s="83"/>
      <c r="BR3" s="83"/>
      <c r="BS3" s="83" t="s">
        <v>24</v>
      </c>
      <c r="BT3" s="83"/>
      <c r="BU3" s="83"/>
      <c r="BV3" s="83" t="s">
        <v>25</v>
      </c>
      <c r="BW3" s="83"/>
      <c r="BX3" s="83"/>
      <c r="BY3" s="83" t="s">
        <v>27</v>
      </c>
      <c r="BZ3" s="83"/>
      <c r="CA3" s="83"/>
      <c r="CB3" s="83" t="s">
        <v>28</v>
      </c>
      <c r="CC3" s="83"/>
      <c r="CD3" s="83"/>
      <c r="CE3" s="83" t="s">
        <v>29</v>
      </c>
      <c r="CF3" s="83"/>
      <c r="CG3" s="83"/>
      <c r="CH3" s="83" t="s">
        <v>30</v>
      </c>
      <c r="CI3" s="83"/>
      <c r="CJ3" s="83"/>
      <c r="CK3" s="83" t="s">
        <v>31</v>
      </c>
      <c r="CL3" s="83"/>
      <c r="CM3" s="83"/>
      <c r="CN3" s="83" t="s">
        <v>32</v>
      </c>
      <c r="CO3" s="83"/>
      <c r="CP3" s="83"/>
      <c r="CQ3" s="83" t="s">
        <v>33</v>
      </c>
      <c r="CR3" s="83"/>
      <c r="CS3" s="83"/>
      <c r="CT3" s="83" t="s">
        <v>34</v>
      </c>
      <c r="CU3" s="83"/>
      <c r="CV3" s="83"/>
    </row>
    <row r="4" spans="1:100" x14ac:dyDescent="0.25">
      <c r="A4" s="84"/>
      <c r="B4" s="51" t="s">
        <v>199</v>
      </c>
      <c r="C4" s="51" t="s">
        <v>200</v>
      </c>
      <c r="D4" s="51" t="s">
        <v>171</v>
      </c>
      <c r="E4" s="51" t="s">
        <v>199</v>
      </c>
      <c r="F4" s="51" t="s">
        <v>200</v>
      </c>
      <c r="G4" s="51" t="s">
        <v>171</v>
      </c>
      <c r="H4" s="51" t="s">
        <v>199</v>
      </c>
      <c r="I4" s="51" t="s">
        <v>200</v>
      </c>
      <c r="J4" s="51" t="s">
        <v>171</v>
      </c>
      <c r="K4" s="51" t="s">
        <v>199</v>
      </c>
      <c r="L4" s="51" t="s">
        <v>200</v>
      </c>
      <c r="M4" s="51" t="s">
        <v>171</v>
      </c>
      <c r="N4" s="51" t="s">
        <v>199</v>
      </c>
      <c r="O4" s="51" t="s">
        <v>200</v>
      </c>
      <c r="P4" s="51" t="s">
        <v>171</v>
      </c>
      <c r="Q4" s="51" t="s">
        <v>199</v>
      </c>
      <c r="R4" s="51" t="s">
        <v>200</v>
      </c>
      <c r="S4" s="51" t="s">
        <v>171</v>
      </c>
      <c r="T4" s="51" t="s">
        <v>199</v>
      </c>
      <c r="U4" s="51" t="s">
        <v>200</v>
      </c>
      <c r="V4" s="51" t="s">
        <v>171</v>
      </c>
      <c r="W4" s="51" t="s">
        <v>199</v>
      </c>
      <c r="X4" s="51" t="s">
        <v>200</v>
      </c>
      <c r="Y4" s="51" t="s">
        <v>171</v>
      </c>
      <c r="Z4" s="51" t="s">
        <v>199</v>
      </c>
      <c r="AA4" s="51" t="s">
        <v>200</v>
      </c>
      <c r="AB4" s="51" t="s">
        <v>171</v>
      </c>
      <c r="AC4" s="51" t="s">
        <v>199</v>
      </c>
      <c r="AD4" s="51" t="s">
        <v>200</v>
      </c>
      <c r="AE4" s="51" t="s">
        <v>171</v>
      </c>
      <c r="AF4" s="51" t="s">
        <v>199</v>
      </c>
      <c r="AG4" s="51" t="s">
        <v>200</v>
      </c>
      <c r="AH4" s="51" t="s">
        <v>171</v>
      </c>
      <c r="AI4" s="51" t="s">
        <v>199</v>
      </c>
      <c r="AJ4" s="51" t="s">
        <v>200</v>
      </c>
      <c r="AK4" s="51" t="s">
        <v>171</v>
      </c>
      <c r="AL4" s="51" t="s">
        <v>199</v>
      </c>
      <c r="AM4" s="51" t="s">
        <v>200</v>
      </c>
      <c r="AN4" s="51" t="s">
        <v>171</v>
      </c>
      <c r="AO4" s="51" t="s">
        <v>199</v>
      </c>
      <c r="AP4" s="51" t="s">
        <v>200</v>
      </c>
      <c r="AQ4" s="51" t="s">
        <v>171</v>
      </c>
      <c r="AR4" s="51" t="s">
        <v>199</v>
      </c>
      <c r="AS4" s="51" t="s">
        <v>200</v>
      </c>
      <c r="AT4" s="51" t="s">
        <v>171</v>
      </c>
      <c r="AU4" s="51" t="s">
        <v>199</v>
      </c>
      <c r="AV4" s="51" t="s">
        <v>200</v>
      </c>
      <c r="AW4" s="51" t="s">
        <v>171</v>
      </c>
      <c r="AX4" s="51" t="s">
        <v>199</v>
      </c>
      <c r="AY4" s="51" t="s">
        <v>200</v>
      </c>
      <c r="AZ4" s="51" t="s">
        <v>171</v>
      </c>
      <c r="BA4" s="51" t="s">
        <v>199</v>
      </c>
      <c r="BB4" s="51" t="s">
        <v>200</v>
      </c>
      <c r="BC4" s="51" t="s">
        <v>171</v>
      </c>
      <c r="BD4" s="51" t="s">
        <v>199</v>
      </c>
      <c r="BE4" s="51" t="s">
        <v>200</v>
      </c>
      <c r="BF4" s="51" t="s">
        <v>171</v>
      </c>
      <c r="BG4" s="51" t="s">
        <v>199</v>
      </c>
      <c r="BH4" s="51" t="s">
        <v>200</v>
      </c>
      <c r="BI4" s="51" t="s">
        <v>171</v>
      </c>
      <c r="BJ4" s="51" t="s">
        <v>199</v>
      </c>
      <c r="BK4" s="51" t="s">
        <v>200</v>
      </c>
      <c r="BL4" s="51" t="s">
        <v>171</v>
      </c>
      <c r="BM4" s="51" t="s">
        <v>199</v>
      </c>
      <c r="BN4" s="51" t="s">
        <v>200</v>
      </c>
      <c r="BO4" s="51" t="s">
        <v>171</v>
      </c>
      <c r="BP4" s="51" t="s">
        <v>199</v>
      </c>
      <c r="BQ4" s="51" t="s">
        <v>200</v>
      </c>
      <c r="BR4" s="51" t="s">
        <v>171</v>
      </c>
      <c r="BS4" s="51" t="s">
        <v>199</v>
      </c>
      <c r="BT4" s="51" t="s">
        <v>200</v>
      </c>
      <c r="BU4" s="51" t="s">
        <v>171</v>
      </c>
      <c r="BV4" s="51" t="s">
        <v>199</v>
      </c>
      <c r="BW4" s="51" t="s">
        <v>200</v>
      </c>
      <c r="BX4" s="51" t="s">
        <v>171</v>
      </c>
      <c r="BY4" s="51" t="s">
        <v>199</v>
      </c>
      <c r="BZ4" s="51" t="s">
        <v>200</v>
      </c>
      <c r="CA4" s="51" t="s">
        <v>171</v>
      </c>
      <c r="CB4" s="51" t="s">
        <v>199</v>
      </c>
      <c r="CC4" s="51" t="s">
        <v>200</v>
      </c>
      <c r="CD4" s="51" t="s">
        <v>171</v>
      </c>
      <c r="CE4" s="51" t="s">
        <v>199</v>
      </c>
      <c r="CF4" s="51" t="s">
        <v>200</v>
      </c>
      <c r="CG4" s="51" t="s">
        <v>171</v>
      </c>
      <c r="CH4" s="51" t="s">
        <v>199</v>
      </c>
      <c r="CI4" s="51" t="s">
        <v>200</v>
      </c>
      <c r="CJ4" s="51" t="s">
        <v>171</v>
      </c>
      <c r="CK4" s="51" t="s">
        <v>199</v>
      </c>
      <c r="CL4" s="51" t="s">
        <v>200</v>
      </c>
      <c r="CM4" s="51" t="s">
        <v>171</v>
      </c>
      <c r="CN4" s="51" t="s">
        <v>199</v>
      </c>
      <c r="CO4" s="51" t="s">
        <v>200</v>
      </c>
      <c r="CP4" s="51" t="s">
        <v>171</v>
      </c>
      <c r="CQ4" s="51" t="s">
        <v>199</v>
      </c>
      <c r="CR4" s="51" t="s">
        <v>200</v>
      </c>
      <c r="CS4" s="51" t="s">
        <v>171</v>
      </c>
      <c r="CT4" s="51" t="s">
        <v>199</v>
      </c>
      <c r="CU4" s="51" t="s">
        <v>200</v>
      </c>
      <c r="CV4" s="51" t="s">
        <v>171</v>
      </c>
    </row>
    <row r="5" spans="1:100" x14ac:dyDescent="0.25">
      <c r="A5" s="69" t="s">
        <v>201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ht="30" x14ac:dyDescent="0.25">
      <c r="A6" s="71" t="s">
        <v>202</v>
      </c>
      <c r="B6" s="70">
        <v>455794</v>
      </c>
      <c r="C6" s="70">
        <v>373525</v>
      </c>
      <c r="D6" s="70">
        <f t="shared" ref="D6:D19" si="0">B6+C6</f>
        <v>829319</v>
      </c>
      <c r="E6" s="70">
        <v>942860</v>
      </c>
      <c r="F6" s="70">
        <v>505322</v>
      </c>
      <c r="G6" s="70">
        <f>F6+E6</f>
        <v>1448182</v>
      </c>
      <c r="H6" s="70"/>
      <c r="I6" s="70"/>
      <c r="J6" s="70">
        <v>10734453</v>
      </c>
      <c r="K6" s="70"/>
      <c r="L6" s="70">
        <v>4790329</v>
      </c>
      <c r="M6" s="70">
        <f>L6+K6</f>
        <v>4790329</v>
      </c>
      <c r="N6" s="70">
        <v>22253221</v>
      </c>
      <c r="O6" s="70">
        <v>59118649</v>
      </c>
      <c r="P6" s="70">
        <f>O6+N6</f>
        <v>81371870</v>
      </c>
      <c r="Q6" s="70">
        <v>1813030</v>
      </c>
      <c r="R6" s="70">
        <v>10682006</v>
      </c>
      <c r="S6" s="70">
        <f>R6+Q6</f>
        <v>12495036</v>
      </c>
      <c r="T6" s="70">
        <v>3243558</v>
      </c>
      <c r="U6" s="70">
        <v>33906090</v>
      </c>
      <c r="V6" s="70">
        <f>U6+T6</f>
        <v>37149648</v>
      </c>
      <c r="W6" s="70">
        <v>393115</v>
      </c>
      <c r="X6" s="70">
        <v>778185</v>
      </c>
      <c r="Y6" s="70">
        <f>X6+W6</f>
        <v>1171300</v>
      </c>
      <c r="Z6" s="70">
        <v>153910</v>
      </c>
      <c r="AA6" s="70">
        <v>407990</v>
      </c>
      <c r="AB6" s="70">
        <f>AA6+Z6</f>
        <v>561900</v>
      </c>
      <c r="AC6" s="70">
        <v>252183</v>
      </c>
      <c r="AD6" s="70">
        <v>255306</v>
      </c>
      <c r="AE6" s="70">
        <f>AD6+AC6</f>
        <v>507489</v>
      </c>
      <c r="AF6" s="70">
        <f>8618301.23+4909465.84</f>
        <v>13527767.07</v>
      </c>
      <c r="AG6" s="70">
        <f>12401945.68+7064841.08</f>
        <v>19466786.759999998</v>
      </c>
      <c r="AH6" s="70">
        <f>AG6+AF6</f>
        <v>32994553.829999998</v>
      </c>
      <c r="AI6" s="70">
        <v>1904815</v>
      </c>
      <c r="AJ6" s="70">
        <v>10122614</v>
      </c>
      <c r="AK6" s="70">
        <f>AJ6+AI6</f>
        <v>12027429</v>
      </c>
      <c r="AL6" s="70"/>
      <c r="AM6" s="70">
        <v>6400430</v>
      </c>
      <c r="AN6" s="70">
        <f>AM6+AL6</f>
        <v>6400430</v>
      </c>
      <c r="AO6" s="70">
        <v>5408764</v>
      </c>
      <c r="AP6" s="70">
        <v>21464297</v>
      </c>
      <c r="AQ6" s="70">
        <f>AP6+AO6</f>
        <v>26873061</v>
      </c>
      <c r="AR6" s="70">
        <v>14475787</v>
      </c>
      <c r="AS6" s="70">
        <v>48795038</v>
      </c>
      <c r="AT6" s="70">
        <f>AS6+AR6</f>
        <v>63270825</v>
      </c>
      <c r="AU6" s="70">
        <v>6446489</v>
      </c>
      <c r="AV6" s="70">
        <v>22773074</v>
      </c>
      <c r="AW6" s="70">
        <f>AV6+AU6</f>
        <v>29219563</v>
      </c>
      <c r="AX6" s="70">
        <v>134282</v>
      </c>
      <c r="AY6" s="70">
        <v>674313</v>
      </c>
      <c r="AZ6" s="70">
        <f>AY6+AX6</f>
        <v>808595</v>
      </c>
      <c r="BA6" s="70">
        <v>703166</v>
      </c>
      <c r="BB6" s="70">
        <v>2455735</v>
      </c>
      <c r="BC6" s="70">
        <f>BB6+BA6</f>
        <v>3158901</v>
      </c>
      <c r="BD6" s="70">
        <v>657170</v>
      </c>
      <c r="BE6" s="70">
        <v>4484077</v>
      </c>
      <c r="BF6" s="70">
        <f>BE6+BD6</f>
        <v>5141247</v>
      </c>
      <c r="BG6" s="70">
        <v>400376</v>
      </c>
      <c r="BH6" s="70">
        <v>1092675</v>
      </c>
      <c r="BI6" s="70">
        <f>BH6+BG6</f>
        <v>1493051</v>
      </c>
      <c r="BJ6" s="70">
        <v>3328213</v>
      </c>
      <c r="BK6" s="70">
        <v>70915502</v>
      </c>
      <c r="BL6" s="70">
        <f>BK6+BJ6</f>
        <v>74243715</v>
      </c>
      <c r="BM6" s="70">
        <v>68014428</v>
      </c>
      <c r="BN6" s="70">
        <v>127312147</v>
      </c>
      <c r="BO6" s="70">
        <f>BN6+BM6</f>
        <v>195326575</v>
      </c>
      <c r="BP6" s="70"/>
      <c r="BQ6" s="70"/>
      <c r="BR6" s="70">
        <v>85252816</v>
      </c>
      <c r="BS6" s="70">
        <v>545230</v>
      </c>
      <c r="BT6" s="70">
        <v>779018</v>
      </c>
      <c r="BU6" s="70">
        <f>BT6+BS6</f>
        <v>1324248</v>
      </c>
      <c r="BV6" s="70">
        <v>3270332</v>
      </c>
      <c r="BW6" s="70">
        <v>17511051</v>
      </c>
      <c r="BX6" s="70">
        <f>BW6+BV6</f>
        <v>20781383</v>
      </c>
      <c r="BY6" s="70"/>
      <c r="BZ6" s="70"/>
      <c r="CA6" s="70">
        <v>2971021</v>
      </c>
      <c r="CB6" s="70">
        <v>3351724</v>
      </c>
      <c r="CC6" s="70">
        <v>13553999</v>
      </c>
      <c r="CD6" s="70">
        <f>CC6+CB6</f>
        <v>16905723</v>
      </c>
      <c r="CE6" s="70">
        <v>3482638</v>
      </c>
      <c r="CF6" s="70">
        <v>12971083</v>
      </c>
      <c r="CG6" s="70">
        <f>CF6+CE6</f>
        <v>16453721</v>
      </c>
      <c r="CH6" s="70">
        <v>4858183</v>
      </c>
      <c r="CI6" s="70">
        <v>23331955</v>
      </c>
      <c r="CJ6" s="70">
        <f>CI6+CH6</f>
        <v>28190138</v>
      </c>
      <c r="CK6" s="70">
        <v>7374249</v>
      </c>
      <c r="CL6" s="70">
        <v>10710960</v>
      </c>
      <c r="CM6" s="70">
        <f>CL6+CK6</f>
        <v>18085209</v>
      </c>
      <c r="CN6" s="70">
        <v>7613263</v>
      </c>
      <c r="CO6" s="70">
        <v>30767842</v>
      </c>
      <c r="CP6" s="70">
        <f>CO6+CN6</f>
        <v>38381105</v>
      </c>
      <c r="CQ6" s="70"/>
      <c r="CR6" s="70"/>
      <c r="CS6" s="70">
        <v>114571265</v>
      </c>
      <c r="CT6" s="70">
        <v>2514485</v>
      </c>
      <c r="CU6" s="70">
        <v>4652388</v>
      </c>
      <c r="CV6" s="70">
        <f>CU6+CT6</f>
        <v>7166873</v>
      </c>
    </row>
    <row r="7" spans="1:100" ht="15" customHeight="1" x14ac:dyDescent="0.25">
      <c r="A7" s="71" t="s">
        <v>203</v>
      </c>
      <c r="B7" s="70"/>
      <c r="C7" s="70"/>
      <c r="D7" s="70">
        <f t="shared" si="0"/>
        <v>0</v>
      </c>
      <c r="E7" s="70">
        <v>358405</v>
      </c>
      <c r="F7" s="70">
        <v>508493</v>
      </c>
      <c r="G7" s="70">
        <f t="shared" ref="G7:G19" si="1">F7+E7</f>
        <v>866898</v>
      </c>
      <c r="H7" s="70"/>
      <c r="I7" s="70"/>
      <c r="J7" s="70">
        <v>8872393</v>
      </c>
      <c r="K7" s="70"/>
      <c r="L7" s="70"/>
      <c r="M7" s="70">
        <f t="shared" ref="M7:M19" si="2">L7+K7</f>
        <v>0</v>
      </c>
      <c r="N7" s="70"/>
      <c r="O7" s="70"/>
      <c r="P7" s="70">
        <f t="shared" ref="P7:P19" si="3">O7+N7</f>
        <v>0</v>
      </c>
      <c r="Q7" s="70"/>
      <c r="R7" s="70"/>
      <c r="S7" s="70">
        <f t="shared" ref="S7:S19" si="4">R7+Q7</f>
        <v>0</v>
      </c>
      <c r="T7" s="70"/>
      <c r="U7" s="70"/>
      <c r="V7" s="70">
        <f t="shared" ref="V7:V19" si="5">U7+T7</f>
        <v>0</v>
      </c>
      <c r="W7" s="70">
        <v>304256</v>
      </c>
      <c r="X7" s="70">
        <v>411667</v>
      </c>
      <c r="Y7" s="70">
        <f t="shared" ref="Y7:Y19" si="6">X7+W7</f>
        <v>715923</v>
      </c>
      <c r="Z7" s="70">
        <v>100156</v>
      </c>
      <c r="AA7" s="70">
        <v>150047</v>
      </c>
      <c r="AB7" s="70">
        <f t="shared" ref="AB7:AB19" si="7">AA7+Z7</f>
        <v>250203</v>
      </c>
      <c r="AC7" s="70">
        <v>6108</v>
      </c>
      <c r="AD7" s="70"/>
      <c r="AE7" s="70">
        <f t="shared" ref="AE7:AE19" si="8">AD7+AC7</f>
        <v>6108</v>
      </c>
      <c r="AF7" s="70">
        <v>389697.44</v>
      </c>
      <c r="AG7" s="70">
        <v>560784.11</v>
      </c>
      <c r="AH7" s="70">
        <f t="shared" ref="AH7:AH19" si="9">AG7+AF7</f>
        <v>950481.55</v>
      </c>
      <c r="AI7" s="70"/>
      <c r="AJ7" s="70"/>
      <c r="AK7" s="70">
        <f t="shared" ref="AK7:AK19" si="10">AJ7+AI7</f>
        <v>0</v>
      </c>
      <c r="AL7" s="70"/>
      <c r="AM7" s="70">
        <v>155058</v>
      </c>
      <c r="AN7" s="70">
        <f t="shared" ref="AN7:AN19" si="11">AM7+AL7</f>
        <v>155058</v>
      </c>
      <c r="AO7" s="70">
        <v>2459923</v>
      </c>
      <c r="AP7" s="70">
        <v>9762031</v>
      </c>
      <c r="AQ7" s="70">
        <f t="shared" ref="AQ7:AQ19" si="12">AP7+AO7</f>
        <v>12221954</v>
      </c>
      <c r="AR7" s="70">
        <v>57198</v>
      </c>
      <c r="AS7" s="70">
        <v>192802</v>
      </c>
      <c r="AT7" s="70">
        <f t="shared" ref="AT7:AT19" si="13">AS7+AR7</f>
        <v>250000</v>
      </c>
      <c r="AU7" s="70">
        <v>220512</v>
      </c>
      <c r="AV7" s="70">
        <v>778988</v>
      </c>
      <c r="AW7" s="70">
        <f t="shared" ref="AW7:AW19" si="14">AV7+AU7</f>
        <v>999500</v>
      </c>
      <c r="AX7" s="70"/>
      <c r="AY7" s="70"/>
      <c r="AZ7" s="70">
        <f t="shared" ref="AZ7:AZ19" si="15">AY7+AX7</f>
        <v>0</v>
      </c>
      <c r="BA7" s="70">
        <v>457471</v>
      </c>
      <c r="BB7" s="70">
        <v>1597672</v>
      </c>
      <c r="BC7" s="70">
        <f t="shared" ref="BC7:BC19" si="16">BB7+BA7</f>
        <v>2055143</v>
      </c>
      <c r="BD7" s="70">
        <v>85072</v>
      </c>
      <c r="BE7" s="70">
        <v>580475</v>
      </c>
      <c r="BF7" s="70">
        <f t="shared" ref="BF7:BF19" si="17">BE7+BD7</f>
        <v>665547</v>
      </c>
      <c r="BG7" s="70">
        <v>612568</v>
      </c>
      <c r="BH7" s="70">
        <v>102413</v>
      </c>
      <c r="BI7" s="70">
        <f t="shared" ref="BI7:BI19" si="18">BH7+BG7</f>
        <v>714981</v>
      </c>
      <c r="BJ7" s="70">
        <v>21532</v>
      </c>
      <c r="BK7" s="70">
        <v>256793</v>
      </c>
      <c r="BL7" s="70">
        <f t="shared" ref="BL7:BL19" si="19">BK7+BJ7</f>
        <v>278325</v>
      </c>
      <c r="BM7" s="70"/>
      <c r="BN7" s="70"/>
      <c r="BO7" s="70">
        <f t="shared" ref="BO7:BO19" si="20">BN7+BM7</f>
        <v>0</v>
      </c>
      <c r="BP7" s="70"/>
      <c r="BQ7" s="70"/>
      <c r="BR7" s="70">
        <v>642950</v>
      </c>
      <c r="BS7" s="70"/>
      <c r="BT7" s="70"/>
      <c r="BU7" s="70">
        <f t="shared" ref="BU7:BU19" si="21">BT7+BS7</f>
        <v>0</v>
      </c>
      <c r="BV7" s="70">
        <v>1586660</v>
      </c>
      <c r="BW7" s="70">
        <v>8495801</v>
      </c>
      <c r="BX7" s="70">
        <f t="shared" ref="BX7:BX19" si="22">BW7+BV7</f>
        <v>10082461</v>
      </c>
      <c r="BY7" s="70"/>
      <c r="BZ7" s="70"/>
      <c r="CA7" s="70">
        <v>1231965</v>
      </c>
      <c r="CB7" s="70"/>
      <c r="CC7" s="70"/>
      <c r="CD7" s="70">
        <f t="shared" ref="CD7:CD19" si="23">CC7+CB7</f>
        <v>0</v>
      </c>
      <c r="CE7" s="70">
        <v>1709452</v>
      </c>
      <c r="CF7" s="70">
        <v>5806889</v>
      </c>
      <c r="CG7" s="70">
        <f t="shared" ref="CG7:CG19" si="24">CF7+CE7</f>
        <v>7516341</v>
      </c>
      <c r="CH7" s="70">
        <v>179100</v>
      </c>
      <c r="CI7" s="70"/>
      <c r="CJ7" s="70">
        <f t="shared" ref="CJ7:CJ19" si="25">CI7+CH7</f>
        <v>179100</v>
      </c>
      <c r="CK7" s="70"/>
      <c r="CL7" s="70"/>
      <c r="CM7" s="70">
        <f t="shared" ref="CM7:CM19" si="26">CL7+CK7</f>
        <v>0</v>
      </c>
      <c r="CN7" s="70"/>
      <c r="CO7" s="70"/>
      <c r="CP7" s="70">
        <f t="shared" ref="CP7:CP19" si="27">CO7+CN7</f>
        <v>0</v>
      </c>
      <c r="CQ7" s="70"/>
      <c r="CR7" s="70"/>
      <c r="CS7" s="70">
        <f t="shared" ref="CS7:CS17" si="28">CR7+CQ7</f>
        <v>0</v>
      </c>
      <c r="CT7" s="70"/>
      <c r="CU7" s="70"/>
      <c r="CV7" s="70">
        <f t="shared" ref="CV7:CV19" si="29">CU7+CT7</f>
        <v>0</v>
      </c>
    </row>
    <row r="8" spans="1:100" ht="15" customHeight="1" x14ac:dyDescent="0.25">
      <c r="A8" s="71" t="s">
        <v>204</v>
      </c>
      <c r="B8" s="70"/>
      <c r="C8" s="70"/>
      <c r="D8" s="70">
        <f t="shared" si="0"/>
        <v>0</v>
      </c>
      <c r="E8" s="70"/>
      <c r="F8" s="70"/>
      <c r="G8" s="70">
        <f t="shared" si="1"/>
        <v>0</v>
      </c>
      <c r="H8" s="70"/>
      <c r="I8" s="70"/>
      <c r="J8" s="70">
        <f t="shared" ref="J7:J19" si="30">I8+H8</f>
        <v>0</v>
      </c>
      <c r="K8" s="70"/>
      <c r="L8" s="70"/>
      <c r="M8" s="70">
        <f t="shared" si="2"/>
        <v>0</v>
      </c>
      <c r="N8" s="70"/>
      <c r="O8" s="70"/>
      <c r="P8" s="70">
        <f t="shared" si="3"/>
        <v>0</v>
      </c>
      <c r="Q8" s="70"/>
      <c r="R8" s="70"/>
      <c r="S8" s="70">
        <f t="shared" si="4"/>
        <v>0</v>
      </c>
      <c r="T8" s="70"/>
      <c r="U8" s="70"/>
      <c r="V8" s="70">
        <f t="shared" si="5"/>
        <v>0</v>
      </c>
      <c r="W8" s="70"/>
      <c r="X8" s="70"/>
      <c r="Y8" s="70">
        <f t="shared" si="6"/>
        <v>0</v>
      </c>
      <c r="Z8" s="70"/>
      <c r="AA8" s="70"/>
      <c r="AB8" s="70">
        <f t="shared" si="7"/>
        <v>0</v>
      </c>
      <c r="AC8" s="70"/>
      <c r="AD8" s="70"/>
      <c r="AE8" s="70">
        <f t="shared" si="8"/>
        <v>0</v>
      </c>
      <c r="AF8" s="70"/>
      <c r="AG8" s="70"/>
      <c r="AH8" s="70">
        <f t="shared" si="9"/>
        <v>0</v>
      </c>
      <c r="AI8" s="70"/>
      <c r="AJ8" s="70"/>
      <c r="AK8" s="70">
        <f t="shared" si="10"/>
        <v>0</v>
      </c>
      <c r="AL8" s="70"/>
      <c r="AM8" s="70"/>
      <c r="AN8" s="70">
        <f t="shared" si="11"/>
        <v>0</v>
      </c>
      <c r="AO8" s="70"/>
      <c r="AP8" s="70"/>
      <c r="AQ8" s="70">
        <f t="shared" si="12"/>
        <v>0</v>
      </c>
      <c r="AR8" s="70"/>
      <c r="AS8" s="70"/>
      <c r="AT8" s="70">
        <f t="shared" si="13"/>
        <v>0</v>
      </c>
      <c r="AU8" s="70"/>
      <c r="AV8" s="70"/>
      <c r="AW8" s="70">
        <f t="shared" si="14"/>
        <v>0</v>
      </c>
      <c r="AX8" s="70"/>
      <c r="AY8" s="70"/>
      <c r="AZ8" s="70">
        <f t="shared" si="15"/>
        <v>0</v>
      </c>
      <c r="BA8" s="70"/>
      <c r="BB8" s="70"/>
      <c r="BC8" s="70">
        <f t="shared" si="16"/>
        <v>0</v>
      </c>
      <c r="BD8" s="70"/>
      <c r="BE8" s="70"/>
      <c r="BF8" s="70">
        <f t="shared" si="17"/>
        <v>0</v>
      </c>
      <c r="BG8" s="70"/>
      <c r="BH8" s="70"/>
      <c r="BI8" s="70">
        <f t="shared" si="18"/>
        <v>0</v>
      </c>
      <c r="BJ8" s="70"/>
      <c r="BK8" s="70"/>
      <c r="BL8" s="70">
        <f t="shared" si="19"/>
        <v>0</v>
      </c>
      <c r="BM8" s="70"/>
      <c r="BN8" s="70"/>
      <c r="BO8" s="70">
        <f t="shared" si="20"/>
        <v>0</v>
      </c>
      <c r="BP8" s="70"/>
      <c r="BQ8" s="70"/>
      <c r="BR8" s="70">
        <f t="shared" ref="BR8:BR19" si="31">BQ8+BP8</f>
        <v>0</v>
      </c>
      <c r="BS8" s="70"/>
      <c r="BT8" s="70"/>
      <c r="BU8" s="70">
        <f t="shared" si="21"/>
        <v>0</v>
      </c>
      <c r="BV8" s="70"/>
      <c r="BW8" s="70"/>
      <c r="BX8" s="70">
        <f t="shared" si="22"/>
        <v>0</v>
      </c>
      <c r="BY8" s="70"/>
      <c r="BZ8" s="70"/>
      <c r="CA8" s="70">
        <f t="shared" ref="CA8:CA17" si="32">BZ8+BY8</f>
        <v>0</v>
      </c>
      <c r="CB8" s="70"/>
      <c r="CC8" s="70"/>
      <c r="CD8" s="70">
        <f t="shared" si="23"/>
        <v>0</v>
      </c>
      <c r="CE8" s="70"/>
      <c r="CF8" s="70"/>
      <c r="CG8" s="70">
        <f t="shared" si="24"/>
        <v>0</v>
      </c>
      <c r="CH8" s="70"/>
      <c r="CI8" s="70"/>
      <c r="CJ8" s="70">
        <f t="shared" si="25"/>
        <v>0</v>
      </c>
      <c r="CK8" s="70"/>
      <c r="CL8" s="70"/>
      <c r="CM8" s="70">
        <f t="shared" si="26"/>
        <v>0</v>
      </c>
      <c r="CN8" s="70"/>
      <c r="CO8" s="70"/>
      <c r="CP8" s="70">
        <f t="shared" si="27"/>
        <v>0</v>
      </c>
      <c r="CQ8" s="70"/>
      <c r="CR8" s="70"/>
      <c r="CS8" s="70">
        <f t="shared" si="28"/>
        <v>0</v>
      </c>
      <c r="CT8" s="70"/>
      <c r="CU8" s="70"/>
      <c r="CV8" s="70">
        <f t="shared" si="29"/>
        <v>0</v>
      </c>
    </row>
    <row r="9" spans="1:100" ht="15" customHeight="1" x14ac:dyDescent="0.25">
      <c r="A9" s="71" t="s">
        <v>205</v>
      </c>
      <c r="B9" s="70"/>
      <c r="C9" s="70"/>
      <c r="D9" s="70">
        <f t="shared" si="0"/>
        <v>0</v>
      </c>
      <c r="E9" s="70"/>
      <c r="F9" s="70"/>
      <c r="G9" s="70">
        <f t="shared" si="1"/>
        <v>0</v>
      </c>
      <c r="H9" s="70"/>
      <c r="I9" s="70"/>
      <c r="J9" s="70">
        <f t="shared" si="30"/>
        <v>0</v>
      </c>
      <c r="K9" s="70"/>
      <c r="L9" s="70"/>
      <c r="M9" s="70">
        <f t="shared" si="2"/>
        <v>0</v>
      </c>
      <c r="N9" s="70"/>
      <c r="O9" s="70"/>
      <c r="P9" s="70">
        <f t="shared" si="3"/>
        <v>0</v>
      </c>
      <c r="Q9" s="70"/>
      <c r="R9" s="70"/>
      <c r="S9" s="70">
        <f t="shared" si="4"/>
        <v>0</v>
      </c>
      <c r="T9" s="70"/>
      <c r="U9" s="70"/>
      <c r="V9" s="70">
        <f t="shared" si="5"/>
        <v>0</v>
      </c>
      <c r="W9" s="70"/>
      <c r="X9" s="70"/>
      <c r="Y9" s="70">
        <f t="shared" si="6"/>
        <v>0</v>
      </c>
      <c r="Z9" s="70"/>
      <c r="AA9" s="70"/>
      <c r="AB9" s="70">
        <f t="shared" si="7"/>
        <v>0</v>
      </c>
      <c r="AC9" s="70"/>
      <c r="AD9" s="70"/>
      <c r="AE9" s="70">
        <f t="shared" si="8"/>
        <v>0</v>
      </c>
      <c r="AF9" s="70"/>
      <c r="AG9" s="70"/>
      <c r="AH9" s="70">
        <f t="shared" si="9"/>
        <v>0</v>
      </c>
      <c r="AI9" s="70"/>
      <c r="AJ9" s="70"/>
      <c r="AK9" s="70">
        <f t="shared" si="10"/>
        <v>0</v>
      </c>
      <c r="AL9" s="70"/>
      <c r="AM9" s="70"/>
      <c r="AN9" s="70">
        <f t="shared" si="11"/>
        <v>0</v>
      </c>
      <c r="AO9" s="70"/>
      <c r="AP9" s="70"/>
      <c r="AQ9" s="70">
        <f t="shared" si="12"/>
        <v>0</v>
      </c>
      <c r="AR9" s="70"/>
      <c r="AS9" s="70"/>
      <c r="AT9" s="70">
        <f t="shared" si="13"/>
        <v>0</v>
      </c>
      <c r="AU9" s="70"/>
      <c r="AV9" s="70"/>
      <c r="AW9" s="70">
        <f t="shared" si="14"/>
        <v>0</v>
      </c>
      <c r="AX9" s="70"/>
      <c r="AY9" s="70"/>
      <c r="AZ9" s="70">
        <f t="shared" si="15"/>
        <v>0</v>
      </c>
      <c r="BA9" s="70"/>
      <c r="BB9" s="70"/>
      <c r="BC9" s="70">
        <f t="shared" si="16"/>
        <v>0</v>
      </c>
      <c r="BD9" s="70"/>
      <c r="BE9" s="70"/>
      <c r="BF9" s="70">
        <f t="shared" si="17"/>
        <v>0</v>
      </c>
      <c r="BG9" s="70"/>
      <c r="BH9" s="70"/>
      <c r="BI9" s="70">
        <f t="shared" si="18"/>
        <v>0</v>
      </c>
      <c r="BJ9" s="70"/>
      <c r="BK9" s="70"/>
      <c r="BL9" s="70">
        <f t="shared" si="19"/>
        <v>0</v>
      </c>
      <c r="BM9" s="70"/>
      <c r="BN9" s="70"/>
      <c r="BO9" s="70">
        <f t="shared" si="20"/>
        <v>0</v>
      </c>
      <c r="BP9" s="70"/>
      <c r="BQ9" s="70"/>
      <c r="BR9" s="70">
        <f t="shared" si="31"/>
        <v>0</v>
      </c>
      <c r="BS9" s="70"/>
      <c r="BT9" s="70"/>
      <c r="BU9" s="70">
        <f t="shared" si="21"/>
        <v>0</v>
      </c>
      <c r="BV9" s="70"/>
      <c r="BW9" s="70"/>
      <c r="BX9" s="70">
        <f t="shared" si="22"/>
        <v>0</v>
      </c>
      <c r="BY9" s="70"/>
      <c r="BZ9" s="70"/>
      <c r="CA9" s="70">
        <f t="shared" si="32"/>
        <v>0</v>
      </c>
      <c r="CB9" s="70"/>
      <c r="CC9" s="70"/>
      <c r="CD9" s="70">
        <f t="shared" si="23"/>
        <v>0</v>
      </c>
      <c r="CE9" s="70"/>
      <c r="CF9" s="70"/>
      <c r="CG9" s="70">
        <f t="shared" si="24"/>
        <v>0</v>
      </c>
      <c r="CH9" s="70"/>
      <c r="CI9" s="70"/>
      <c r="CJ9" s="70">
        <f t="shared" si="25"/>
        <v>0</v>
      </c>
      <c r="CK9" s="70"/>
      <c r="CL9" s="70"/>
      <c r="CM9" s="70">
        <f t="shared" si="26"/>
        <v>0</v>
      </c>
      <c r="CN9" s="70"/>
      <c r="CO9" s="70"/>
      <c r="CP9" s="70">
        <f t="shared" si="27"/>
        <v>0</v>
      </c>
      <c r="CQ9" s="70"/>
      <c r="CR9" s="70"/>
      <c r="CS9" s="70">
        <f t="shared" si="28"/>
        <v>0</v>
      </c>
      <c r="CT9" s="70"/>
      <c r="CU9" s="70"/>
      <c r="CV9" s="70">
        <f t="shared" si="29"/>
        <v>0</v>
      </c>
    </row>
    <row r="10" spans="1:100" ht="15" customHeight="1" x14ac:dyDescent="0.25">
      <c r="A10" s="71" t="s">
        <v>206</v>
      </c>
      <c r="B10" s="70"/>
      <c r="C10" s="70"/>
      <c r="D10" s="70">
        <f t="shared" si="0"/>
        <v>0</v>
      </c>
      <c r="E10" s="70"/>
      <c r="F10" s="70"/>
      <c r="G10" s="70">
        <f t="shared" si="1"/>
        <v>0</v>
      </c>
      <c r="H10" s="70"/>
      <c r="I10" s="70"/>
      <c r="J10" s="70">
        <v>2674950</v>
      </c>
      <c r="K10" s="70"/>
      <c r="L10" s="70"/>
      <c r="M10" s="70">
        <f t="shared" si="2"/>
        <v>0</v>
      </c>
      <c r="N10" s="70">
        <v>3743497</v>
      </c>
      <c r="O10" s="70">
        <v>11790774</v>
      </c>
      <c r="P10" s="70">
        <f t="shared" si="3"/>
        <v>15534271</v>
      </c>
      <c r="Q10" s="70">
        <v>28850</v>
      </c>
      <c r="R10" s="70">
        <v>169977</v>
      </c>
      <c r="S10" s="70">
        <f t="shared" si="4"/>
        <v>198827</v>
      </c>
      <c r="T10" s="70">
        <v>107750</v>
      </c>
      <c r="U10" s="70">
        <v>1126349</v>
      </c>
      <c r="V10" s="70">
        <f t="shared" si="5"/>
        <v>1234099</v>
      </c>
      <c r="W10" s="70"/>
      <c r="X10" s="70"/>
      <c r="Y10" s="70">
        <f t="shared" si="6"/>
        <v>0</v>
      </c>
      <c r="Z10" s="70"/>
      <c r="AA10" s="70"/>
      <c r="AB10" s="70">
        <f t="shared" si="7"/>
        <v>0</v>
      </c>
      <c r="AC10" s="70"/>
      <c r="AD10" s="70"/>
      <c r="AE10" s="70">
        <f t="shared" si="8"/>
        <v>0</v>
      </c>
      <c r="AF10" s="70">
        <v>5498561.71</v>
      </c>
      <c r="AG10" s="70">
        <v>7912564.4100000001</v>
      </c>
      <c r="AH10" s="70">
        <f t="shared" si="9"/>
        <v>13411126.120000001</v>
      </c>
      <c r="AI10" s="70">
        <v>27766</v>
      </c>
      <c r="AJ10" s="70">
        <v>147557</v>
      </c>
      <c r="AK10" s="70">
        <f t="shared" si="10"/>
        <v>175323</v>
      </c>
      <c r="AL10" s="70"/>
      <c r="AM10" s="70">
        <v>551825</v>
      </c>
      <c r="AN10" s="70">
        <f t="shared" si="11"/>
        <v>551825</v>
      </c>
      <c r="AO10" s="70">
        <v>732095</v>
      </c>
      <c r="AP10" s="70">
        <v>2905269</v>
      </c>
      <c r="AQ10" s="70">
        <f t="shared" si="12"/>
        <v>3637364</v>
      </c>
      <c r="AR10" s="70">
        <v>4607767</v>
      </c>
      <c r="AS10" s="70">
        <v>15531877</v>
      </c>
      <c r="AT10" s="70">
        <f t="shared" si="13"/>
        <v>20139644</v>
      </c>
      <c r="AU10" s="70">
        <v>6435</v>
      </c>
      <c r="AV10" s="70">
        <v>22733</v>
      </c>
      <c r="AW10" s="70">
        <f t="shared" si="14"/>
        <v>29168</v>
      </c>
      <c r="AX10" s="70"/>
      <c r="AY10" s="70"/>
      <c r="AZ10" s="70">
        <f t="shared" si="15"/>
        <v>0</v>
      </c>
      <c r="BA10" s="70"/>
      <c r="BB10" s="70"/>
      <c r="BC10" s="70">
        <f t="shared" si="16"/>
        <v>0</v>
      </c>
      <c r="BD10" s="70"/>
      <c r="BE10" s="70"/>
      <c r="BF10" s="70">
        <f t="shared" si="17"/>
        <v>0</v>
      </c>
      <c r="BG10" s="70"/>
      <c r="BH10" s="70"/>
      <c r="BI10" s="70">
        <f t="shared" si="18"/>
        <v>0</v>
      </c>
      <c r="BJ10" s="70">
        <v>8080436</v>
      </c>
      <c r="BK10" s="70">
        <v>96368973</v>
      </c>
      <c r="BL10" s="70">
        <f t="shared" si="19"/>
        <v>104449409</v>
      </c>
      <c r="BM10" s="70">
        <v>83541155</v>
      </c>
      <c r="BN10" s="70">
        <v>167754124</v>
      </c>
      <c r="BO10" s="70">
        <f t="shared" si="20"/>
        <v>251295279</v>
      </c>
      <c r="BP10" s="70"/>
      <c r="BQ10" s="70"/>
      <c r="BR10" s="70">
        <v>89182692</v>
      </c>
      <c r="BS10" s="70"/>
      <c r="BT10" s="70"/>
      <c r="BU10" s="70">
        <f t="shared" si="21"/>
        <v>0</v>
      </c>
      <c r="BV10" s="70"/>
      <c r="BW10" s="70"/>
      <c r="BX10" s="70">
        <f t="shared" si="22"/>
        <v>0</v>
      </c>
      <c r="BY10" s="70"/>
      <c r="BZ10" s="70"/>
      <c r="CA10" s="70">
        <v>16880</v>
      </c>
      <c r="CB10" s="70"/>
      <c r="CC10" s="70"/>
      <c r="CD10" s="70">
        <f t="shared" si="23"/>
        <v>0</v>
      </c>
      <c r="CE10" s="70">
        <v>1820280</v>
      </c>
      <c r="CF10" s="70"/>
      <c r="CG10" s="70">
        <f t="shared" si="24"/>
        <v>1820280</v>
      </c>
      <c r="CH10" s="70">
        <v>779109</v>
      </c>
      <c r="CI10" s="70"/>
      <c r="CJ10" s="70">
        <f t="shared" si="25"/>
        <v>779109</v>
      </c>
      <c r="CK10" s="70"/>
      <c r="CL10" s="70"/>
      <c r="CM10" s="70">
        <f t="shared" si="26"/>
        <v>0</v>
      </c>
      <c r="CN10" s="70">
        <v>996615</v>
      </c>
      <c r="CO10" s="70">
        <v>4027666</v>
      </c>
      <c r="CP10" s="70">
        <f t="shared" si="27"/>
        <v>5024281</v>
      </c>
      <c r="CQ10" s="70"/>
      <c r="CR10" s="70"/>
      <c r="CS10" s="70">
        <v>81058963</v>
      </c>
      <c r="CT10" s="70"/>
      <c r="CU10" s="70"/>
      <c r="CV10" s="70">
        <f t="shared" si="29"/>
        <v>0</v>
      </c>
    </row>
    <row r="11" spans="1:100" ht="15" customHeight="1" x14ac:dyDescent="0.25">
      <c r="A11" s="71" t="s">
        <v>207</v>
      </c>
      <c r="B11" s="70"/>
      <c r="C11" s="70"/>
      <c r="D11" s="70">
        <f t="shared" si="0"/>
        <v>0</v>
      </c>
      <c r="E11" s="70"/>
      <c r="F11" s="70"/>
      <c r="G11" s="70">
        <f t="shared" si="1"/>
        <v>0</v>
      </c>
      <c r="H11" s="70"/>
      <c r="I11" s="70"/>
      <c r="J11" s="70">
        <f t="shared" si="30"/>
        <v>0</v>
      </c>
      <c r="K11" s="70"/>
      <c r="L11" s="70"/>
      <c r="M11" s="70">
        <f t="shared" si="2"/>
        <v>0</v>
      </c>
      <c r="N11" s="70"/>
      <c r="O11" s="70">
        <v>330000</v>
      </c>
      <c r="P11" s="70">
        <f t="shared" si="3"/>
        <v>330000</v>
      </c>
      <c r="Q11" s="70"/>
      <c r="R11" s="70"/>
      <c r="S11" s="70">
        <f t="shared" si="4"/>
        <v>0</v>
      </c>
      <c r="T11" s="70"/>
      <c r="U11" s="70"/>
      <c r="V11" s="70">
        <f t="shared" si="5"/>
        <v>0</v>
      </c>
      <c r="W11" s="70"/>
      <c r="X11" s="70"/>
      <c r="Y11" s="70">
        <f t="shared" si="6"/>
        <v>0</v>
      </c>
      <c r="Z11" s="70"/>
      <c r="AA11" s="70"/>
      <c r="AB11" s="70">
        <f t="shared" si="7"/>
        <v>0</v>
      </c>
      <c r="AC11" s="70"/>
      <c r="AD11" s="70"/>
      <c r="AE11" s="70">
        <f t="shared" si="8"/>
        <v>0</v>
      </c>
      <c r="AF11" s="70"/>
      <c r="AG11" s="70"/>
      <c r="AH11" s="70">
        <f t="shared" si="9"/>
        <v>0</v>
      </c>
      <c r="AI11" s="70"/>
      <c r="AJ11" s="70"/>
      <c r="AK11" s="70">
        <f t="shared" si="10"/>
        <v>0</v>
      </c>
      <c r="AL11" s="70"/>
      <c r="AM11" s="70"/>
      <c r="AN11" s="70">
        <f t="shared" si="11"/>
        <v>0</v>
      </c>
      <c r="AO11" s="70">
        <v>10343</v>
      </c>
      <c r="AP11" s="70">
        <v>41046</v>
      </c>
      <c r="AQ11" s="70">
        <f t="shared" si="12"/>
        <v>51389</v>
      </c>
      <c r="AR11" s="70">
        <v>84208</v>
      </c>
      <c r="AS11" s="70">
        <v>283848</v>
      </c>
      <c r="AT11" s="70">
        <f t="shared" si="13"/>
        <v>368056</v>
      </c>
      <c r="AU11" s="70"/>
      <c r="AV11" s="70"/>
      <c r="AW11" s="70">
        <f t="shared" si="14"/>
        <v>0</v>
      </c>
      <c r="AX11" s="70"/>
      <c r="AY11" s="70"/>
      <c r="AZ11" s="70">
        <f t="shared" si="15"/>
        <v>0</v>
      </c>
      <c r="BA11" s="70"/>
      <c r="BB11" s="70"/>
      <c r="BC11" s="70">
        <f t="shared" si="16"/>
        <v>0</v>
      </c>
      <c r="BD11" s="70">
        <v>4711</v>
      </c>
      <c r="BE11" s="70">
        <v>32145</v>
      </c>
      <c r="BF11" s="70">
        <f t="shared" si="17"/>
        <v>36856</v>
      </c>
      <c r="BG11" s="70"/>
      <c r="BH11" s="70"/>
      <c r="BI11" s="70">
        <f t="shared" si="18"/>
        <v>0</v>
      </c>
      <c r="BJ11" s="70">
        <v>334</v>
      </c>
      <c r="BK11" s="70">
        <v>3988</v>
      </c>
      <c r="BL11" s="70">
        <f t="shared" si="19"/>
        <v>4322</v>
      </c>
      <c r="BM11" s="70">
        <v>243</v>
      </c>
      <c r="BN11" s="70">
        <v>487</v>
      </c>
      <c r="BO11" s="70">
        <f t="shared" si="20"/>
        <v>730</v>
      </c>
      <c r="BP11" s="70"/>
      <c r="BQ11" s="70"/>
      <c r="BR11" s="70">
        <v>21458</v>
      </c>
      <c r="BS11" s="70"/>
      <c r="BT11" s="70"/>
      <c r="BU11" s="70">
        <f t="shared" si="21"/>
        <v>0</v>
      </c>
      <c r="BV11" s="70"/>
      <c r="BW11" s="70"/>
      <c r="BX11" s="70">
        <f t="shared" si="22"/>
        <v>0</v>
      </c>
      <c r="BY11" s="70"/>
      <c r="BZ11" s="70"/>
      <c r="CA11" s="70">
        <f t="shared" si="32"/>
        <v>0</v>
      </c>
      <c r="CB11" s="70"/>
      <c r="CC11" s="70"/>
      <c r="CD11" s="70">
        <f t="shared" si="23"/>
        <v>0</v>
      </c>
      <c r="CE11" s="70"/>
      <c r="CF11" s="70"/>
      <c r="CG11" s="70">
        <f t="shared" si="24"/>
        <v>0</v>
      </c>
      <c r="CH11" s="70"/>
      <c r="CI11" s="70"/>
      <c r="CJ11" s="70">
        <f t="shared" si="25"/>
        <v>0</v>
      </c>
      <c r="CK11" s="70"/>
      <c r="CL11" s="70"/>
      <c r="CM11" s="70">
        <f t="shared" si="26"/>
        <v>0</v>
      </c>
      <c r="CN11" s="70"/>
      <c r="CO11" s="70"/>
      <c r="CP11" s="70">
        <f t="shared" si="27"/>
        <v>0</v>
      </c>
      <c r="CQ11" s="70"/>
      <c r="CR11" s="70"/>
      <c r="CS11" s="70">
        <f t="shared" si="28"/>
        <v>0</v>
      </c>
      <c r="CT11" s="70"/>
      <c r="CU11" s="70"/>
      <c r="CV11" s="70">
        <f t="shared" si="29"/>
        <v>0</v>
      </c>
    </row>
    <row r="12" spans="1:100" ht="15" customHeight="1" x14ac:dyDescent="0.25">
      <c r="A12" s="71" t="s">
        <v>208</v>
      </c>
      <c r="B12" s="70"/>
      <c r="C12" s="70"/>
      <c r="D12" s="70">
        <f t="shared" si="0"/>
        <v>0</v>
      </c>
      <c r="E12" s="70"/>
      <c r="F12" s="70"/>
      <c r="G12" s="70">
        <f t="shared" si="1"/>
        <v>0</v>
      </c>
      <c r="H12" s="70"/>
      <c r="I12" s="70"/>
      <c r="J12" s="70">
        <f t="shared" si="30"/>
        <v>0</v>
      </c>
      <c r="K12" s="70"/>
      <c r="L12" s="70"/>
      <c r="M12" s="70">
        <f t="shared" si="2"/>
        <v>0</v>
      </c>
      <c r="N12" s="70"/>
      <c r="O12" s="70"/>
      <c r="P12" s="70">
        <f t="shared" si="3"/>
        <v>0</v>
      </c>
      <c r="Q12" s="70"/>
      <c r="R12" s="70"/>
      <c r="S12" s="70">
        <f t="shared" si="4"/>
        <v>0</v>
      </c>
      <c r="T12" s="70"/>
      <c r="U12" s="70"/>
      <c r="V12" s="70">
        <f t="shared" si="5"/>
        <v>0</v>
      </c>
      <c r="W12" s="70"/>
      <c r="X12" s="70"/>
      <c r="Y12" s="70">
        <f t="shared" si="6"/>
        <v>0</v>
      </c>
      <c r="Z12" s="70"/>
      <c r="AA12" s="70"/>
      <c r="AB12" s="70">
        <f t="shared" si="7"/>
        <v>0</v>
      </c>
      <c r="AC12" s="70"/>
      <c r="AD12" s="70"/>
      <c r="AE12" s="70">
        <f t="shared" si="8"/>
        <v>0</v>
      </c>
      <c r="AF12" s="70"/>
      <c r="AG12" s="70"/>
      <c r="AH12" s="70">
        <f t="shared" si="9"/>
        <v>0</v>
      </c>
      <c r="AI12" s="70"/>
      <c r="AJ12" s="70"/>
      <c r="AK12" s="70">
        <f t="shared" si="10"/>
        <v>0</v>
      </c>
      <c r="AL12" s="70"/>
      <c r="AM12" s="70"/>
      <c r="AN12" s="70">
        <f t="shared" si="11"/>
        <v>0</v>
      </c>
      <c r="AO12" s="70"/>
      <c r="AP12" s="70"/>
      <c r="AQ12" s="70">
        <f t="shared" si="12"/>
        <v>0</v>
      </c>
      <c r="AR12" s="70"/>
      <c r="AS12" s="70"/>
      <c r="AT12" s="70">
        <f t="shared" si="13"/>
        <v>0</v>
      </c>
      <c r="AU12" s="70">
        <v>4083</v>
      </c>
      <c r="AV12" s="70">
        <v>14422</v>
      </c>
      <c r="AW12" s="70">
        <f t="shared" si="14"/>
        <v>18505</v>
      </c>
      <c r="AX12" s="70"/>
      <c r="AY12" s="70"/>
      <c r="AZ12" s="70">
        <f t="shared" si="15"/>
        <v>0</v>
      </c>
      <c r="BA12" s="70"/>
      <c r="BB12" s="70"/>
      <c r="BC12" s="70">
        <f t="shared" si="16"/>
        <v>0</v>
      </c>
      <c r="BD12" s="70"/>
      <c r="BE12" s="70"/>
      <c r="BF12" s="70">
        <f t="shared" si="17"/>
        <v>0</v>
      </c>
      <c r="BG12" s="70"/>
      <c r="BH12" s="70"/>
      <c r="BI12" s="70">
        <f t="shared" si="18"/>
        <v>0</v>
      </c>
      <c r="BJ12" s="70"/>
      <c r="BK12" s="70"/>
      <c r="BL12" s="70">
        <f t="shared" si="19"/>
        <v>0</v>
      </c>
      <c r="BM12" s="70">
        <v>334025</v>
      </c>
      <c r="BN12" s="70">
        <v>671310</v>
      </c>
      <c r="BO12" s="70">
        <f t="shared" si="20"/>
        <v>1005335</v>
      </c>
      <c r="BP12" s="70"/>
      <c r="BQ12" s="70"/>
      <c r="BR12" s="70">
        <f t="shared" si="31"/>
        <v>0</v>
      </c>
      <c r="BS12" s="70"/>
      <c r="BT12" s="70"/>
      <c r="BU12" s="70">
        <f t="shared" si="21"/>
        <v>0</v>
      </c>
      <c r="BV12" s="70"/>
      <c r="BW12" s="70"/>
      <c r="BX12" s="70">
        <f t="shared" si="22"/>
        <v>0</v>
      </c>
      <c r="BY12" s="70"/>
      <c r="BZ12" s="70"/>
      <c r="CA12" s="70">
        <f t="shared" si="32"/>
        <v>0</v>
      </c>
      <c r="CB12" s="70"/>
      <c r="CC12" s="70"/>
      <c r="CD12" s="70">
        <f t="shared" si="23"/>
        <v>0</v>
      </c>
      <c r="CE12" s="70"/>
      <c r="CF12" s="70"/>
      <c r="CG12" s="70">
        <f t="shared" si="24"/>
        <v>0</v>
      </c>
      <c r="CH12" s="70"/>
      <c r="CI12" s="70"/>
      <c r="CJ12" s="70">
        <f t="shared" si="25"/>
        <v>0</v>
      </c>
      <c r="CK12" s="70"/>
      <c r="CL12" s="70"/>
      <c r="CM12" s="70">
        <f t="shared" si="26"/>
        <v>0</v>
      </c>
      <c r="CN12" s="70"/>
      <c r="CO12" s="70"/>
      <c r="CP12" s="70">
        <f t="shared" si="27"/>
        <v>0</v>
      </c>
      <c r="CQ12" s="70"/>
      <c r="CR12" s="70"/>
      <c r="CS12" s="70">
        <f t="shared" si="28"/>
        <v>0</v>
      </c>
      <c r="CT12" s="70"/>
      <c r="CU12" s="70"/>
      <c r="CV12" s="70">
        <f t="shared" si="29"/>
        <v>0</v>
      </c>
    </row>
    <row r="13" spans="1:100" ht="15" customHeight="1" x14ac:dyDescent="0.25">
      <c r="A13" s="71" t="s">
        <v>209</v>
      </c>
      <c r="B13" s="70">
        <v>446819</v>
      </c>
      <c r="C13" s="70">
        <v>366170</v>
      </c>
      <c r="D13" s="70">
        <f t="shared" si="0"/>
        <v>812989</v>
      </c>
      <c r="E13" s="70">
        <v>200851</v>
      </c>
      <c r="F13" s="70">
        <v>500559</v>
      </c>
      <c r="G13" s="70">
        <f t="shared" si="1"/>
        <v>701410</v>
      </c>
      <c r="H13" s="70"/>
      <c r="I13" s="70"/>
      <c r="J13" s="70">
        <v>6571387</v>
      </c>
      <c r="K13" s="70">
        <v>700000</v>
      </c>
      <c r="L13" s="70">
        <v>2300878</v>
      </c>
      <c r="M13" s="70">
        <f t="shared" si="2"/>
        <v>3000878</v>
      </c>
      <c r="N13" s="70">
        <v>1343546</v>
      </c>
      <c r="O13" s="70"/>
      <c r="P13" s="70">
        <f t="shared" si="3"/>
        <v>1343546</v>
      </c>
      <c r="Q13" s="70">
        <v>853381</v>
      </c>
      <c r="R13" s="70">
        <v>5027948</v>
      </c>
      <c r="S13" s="70">
        <f t="shared" si="4"/>
        <v>5881329</v>
      </c>
      <c r="T13" s="70">
        <v>1354274</v>
      </c>
      <c r="U13" s="70">
        <v>14156723</v>
      </c>
      <c r="V13" s="70">
        <f t="shared" si="5"/>
        <v>15510997</v>
      </c>
      <c r="W13" s="70">
        <v>248580</v>
      </c>
      <c r="X13" s="70">
        <v>600088</v>
      </c>
      <c r="Y13" s="70">
        <f t="shared" si="6"/>
        <v>848668</v>
      </c>
      <c r="Z13" s="70"/>
      <c r="AA13" s="70">
        <v>398319</v>
      </c>
      <c r="AB13" s="70">
        <f t="shared" si="7"/>
        <v>398319</v>
      </c>
      <c r="AC13" s="70">
        <v>199964</v>
      </c>
      <c r="AD13" s="70"/>
      <c r="AE13" s="70">
        <f t="shared" si="8"/>
        <v>199964</v>
      </c>
      <c r="AF13" s="70">
        <f>3653616.85+1108805.97</f>
        <v>4762422.82</v>
      </c>
      <c r="AG13" s="70">
        <f>5257643.76+1595598.82</f>
        <v>6853242.5800000001</v>
      </c>
      <c r="AH13" s="70">
        <f t="shared" si="9"/>
        <v>11615665.4</v>
      </c>
      <c r="AI13" s="70">
        <v>1152602</v>
      </c>
      <c r="AJ13" s="70">
        <v>6125186</v>
      </c>
      <c r="AK13" s="70">
        <f t="shared" si="10"/>
        <v>7277788</v>
      </c>
      <c r="AL13" s="70"/>
      <c r="AM13" s="70">
        <v>756003</v>
      </c>
      <c r="AN13" s="70">
        <f t="shared" si="11"/>
        <v>756003</v>
      </c>
      <c r="AO13" s="70">
        <v>2810378</v>
      </c>
      <c r="AP13" s="70">
        <v>11152787</v>
      </c>
      <c r="AQ13" s="70">
        <f t="shared" si="12"/>
        <v>13963165</v>
      </c>
      <c r="AR13" s="70">
        <v>9989254</v>
      </c>
      <c r="AS13" s="70">
        <v>33671814</v>
      </c>
      <c r="AT13" s="70">
        <f t="shared" si="13"/>
        <v>43661068</v>
      </c>
      <c r="AU13" s="70">
        <v>2401750</v>
      </c>
      <c r="AV13" s="70">
        <v>8484500</v>
      </c>
      <c r="AW13" s="70">
        <f t="shared" si="14"/>
        <v>10886250</v>
      </c>
      <c r="AX13" s="70">
        <v>291260</v>
      </c>
      <c r="AY13" s="70">
        <v>712284</v>
      </c>
      <c r="AZ13" s="70">
        <f t="shared" si="15"/>
        <v>1003544</v>
      </c>
      <c r="BA13" s="70">
        <v>1177861</v>
      </c>
      <c r="BB13" s="70">
        <v>4113558</v>
      </c>
      <c r="BC13" s="70">
        <f t="shared" si="16"/>
        <v>5291419</v>
      </c>
      <c r="BD13" s="70">
        <v>767900</v>
      </c>
      <c r="BE13" s="70">
        <v>5239626</v>
      </c>
      <c r="BF13" s="70">
        <f t="shared" si="17"/>
        <v>6007526</v>
      </c>
      <c r="BG13" s="70">
        <v>503509</v>
      </c>
      <c r="BH13" s="70">
        <v>1555176</v>
      </c>
      <c r="BI13" s="70">
        <f t="shared" si="18"/>
        <v>2058685</v>
      </c>
      <c r="BJ13" s="70">
        <v>4052198</v>
      </c>
      <c r="BK13" s="70">
        <v>17136621</v>
      </c>
      <c r="BL13" s="70">
        <f t="shared" si="19"/>
        <v>21188819</v>
      </c>
      <c r="BM13" s="70">
        <v>7699331</v>
      </c>
      <c r="BN13" s="70">
        <v>15354752</v>
      </c>
      <c r="BO13" s="70">
        <f t="shared" si="20"/>
        <v>23054083</v>
      </c>
      <c r="BP13" s="70"/>
      <c r="BQ13" s="70"/>
      <c r="BR13" s="70">
        <v>9107973</v>
      </c>
      <c r="BS13" s="70">
        <v>250212</v>
      </c>
      <c r="BT13" s="70">
        <v>357499</v>
      </c>
      <c r="BU13" s="70">
        <f t="shared" si="21"/>
        <v>607711</v>
      </c>
      <c r="BV13" s="70">
        <v>5581023</v>
      </c>
      <c r="BW13" s="70">
        <v>29883693</v>
      </c>
      <c r="BX13" s="70">
        <f t="shared" si="22"/>
        <v>35464716</v>
      </c>
      <c r="BY13" s="70"/>
      <c r="BZ13" s="70"/>
      <c r="CA13" s="70">
        <v>1988379</v>
      </c>
      <c r="CB13" s="70">
        <v>2352948</v>
      </c>
      <c r="CC13" s="70">
        <v>9515059</v>
      </c>
      <c r="CD13" s="70">
        <f t="shared" si="23"/>
        <v>11868007</v>
      </c>
      <c r="CE13" s="70">
        <v>1211225</v>
      </c>
      <c r="CF13" s="70">
        <v>4890160</v>
      </c>
      <c r="CG13" s="70">
        <f t="shared" si="24"/>
        <v>6101385</v>
      </c>
      <c r="CH13" s="70">
        <v>285036</v>
      </c>
      <c r="CI13" s="70">
        <v>3676661</v>
      </c>
      <c r="CJ13" s="70">
        <f t="shared" si="25"/>
        <v>3961697</v>
      </c>
      <c r="CK13" s="70">
        <v>1548405</v>
      </c>
      <c r="CL13" s="70">
        <v>2249030</v>
      </c>
      <c r="CM13" s="70">
        <f t="shared" si="26"/>
        <v>3797435</v>
      </c>
      <c r="CN13" s="70">
        <v>5022430</v>
      </c>
      <c r="CO13" s="70">
        <v>20297383</v>
      </c>
      <c r="CP13" s="70">
        <f t="shared" si="27"/>
        <v>25319813</v>
      </c>
      <c r="CQ13" s="70"/>
      <c r="CR13" s="70"/>
      <c r="CS13" s="70">
        <v>17745902</v>
      </c>
      <c r="CT13" s="70">
        <v>1131521</v>
      </c>
      <c r="CU13" s="70">
        <v>2093579</v>
      </c>
      <c r="CV13" s="70">
        <f t="shared" si="29"/>
        <v>3225100</v>
      </c>
    </row>
    <row r="14" spans="1:100" ht="15" customHeight="1" x14ac:dyDescent="0.25">
      <c r="A14" s="71" t="s">
        <v>210</v>
      </c>
      <c r="B14" s="70"/>
      <c r="C14" s="70"/>
      <c r="D14" s="70">
        <f t="shared" si="0"/>
        <v>0</v>
      </c>
      <c r="E14" s="70"/>
      <c r="F14" s="70"/>
      <c r="G14" s="70">
        <f t="shared" si="1"/>
        <v>0</v>
      </c>
      <c r="H14" s="70"/>
      <c r="I14" s="70"/>
      <c r="J14" s="70">
        <f t="shared" si="30"/>
        <v>0</v>
      </c>
      <c r="K14" s="70"/>
      <c r="L14" s="70"/>
      <c r="M14" s="70">
        <f t="shared" si="2"/>
        <v>0</v>
      </c>
      <c r="N14" s="70"/>
      <c r="O14" s="70"/>
      <c r="P14" s="70">
        <f t="shared" si="3"/>
        <v>0</v>
      </c>
      <c r="Q14" s="70"/>
      <c r="R14" s="70"/>
      <c r="S14" s="70">
        <f t="shared" si="4"/>
        <v>0</v>
      </c>
      <c r="T14" s="70"/>
      <c r="U14" s="70"/>
      <c r="V14" s="70">
        <f t="shared" si="5"/>
        <v>0</v>
      </c>
      <c r="W14" s="70"/>
      <c r="X14" s="70"/>
      <c r="Y14" s="70">
        <f t="shared" si="6"/>
        <v>0</v>
      </c>
      <c r="Z14" s="70"/>
      <c r="AA14" s="70"/>
      <c r="AB14" s="70">
        <f t="shared" si="7"/>
        <v>0</v>
      </c>
      <c r="AC14" s="70"/>
      <c r="AD14" s="70"/>
      <c r="AE14" s="70">
        <f t="shared" si="8"/>
        <v>0</v>
      </c>
      <c r="AF14" s="70"/>
      <c r="AG14" s="70"/>
      <c r="AH14" s="70">
        <f t="shared" si="9"/>
        <v>0</v>
      </c>
      <c r="AI14" s="70">
        <v>7839</v>
      </c>
      <c r="AJ14" s="70">
        <v>41661</v>
      </c>
      <c r="AK14" s="70">
        <f t="shared" si="10"/>
        <v>49500</v>
      </c>
      <c r="AL14" s="70"/>
      <c r="AM14" s="70"/>
      <c r="AN14" s="70">
        <f t="shared" si="11"/>
        <v>0</v>
      </c>
      <c r="AO14" s="70">
        <v>91397</v>
      </c>
      <c r="AP14" s="70">
        <v>362703</v>
      </c>
      <c r="AQ14" s="70">
        <f t="shared" si="12"/>
        <v>454100</v>
      </c>
      <c r="AR14" s="70">
        <v>4023707</v>
      </c>
      <c r="AS14" s="70">
        <v>12796271</v>
      </c>
      <c r="AT14" s="70">
        <f>AS14+AR14</f>
        <v>16819978</v>
      </c>
      <c r="AU14" s="70"/>
      <c r="AV14" s="70"/>
      <c r="AW14" s="70">
        <f t="shared" si="14"/>
        <v>0</v>
      </c>
      <c r="AX14" s="70"/>
      <c r="AY14" s="70"/>
      <c r="AZ14" s="70">
        <f t="shared" si="15"/>
        <v>0</v>
      </c>
      <c r="BA14" s="70"/>
      <c r="BB14" s="70"/>
      <c r="BC14" s="70">
        <f t="shared" si="16"/>
        <v>0</v>
      </c>
      <c r="BD14" s="70">
        <v>25565</v>
      </c>
      <c r="BE14" s="70">
        <v>174435</v>
      </c>
      <c r="BF14" s="70">
        <f t="shared" si="17"/>
        <v>200000</v>
      </c>
      <c r="BG14" s="70"/>
      <c r="BH14" s="70"/>
      <c r="BI14" s="70">
        <f t="shared" si="18"/>
        <v>0</v>
      </c>
      <c r="BJ14" s="70">
        <v>3246</v>
      </c>
      <c r="BK14" s="70">
        <v>38708</v>
      </c>
      <c r="BL14" s="70">
        <f t="shared" si="19"/>
        <v>41954</v>
      </c>
      <c r="BM14" s="70"/>
      <c r="BN14" s="70"/>
      <c r="BO14" s="70">
        <f t="shared" si="20"/>
        <v>0</v>
      </c>
      <c r="BP14" s="70"/>
      <c r="BQ14" s="70"/>
      <c r="BR14" s="70">
        <v>476247</v>
      </c>
      <c r="BS14" s="70">
        <v>14699</v>
      </c>
      <c r="BT14" s="70">
        <v>21001</v>
      </c>
      <c r="BU14" s="70">
        <f t="shared" si="21"/>
        <v>35700</v>
      </c>
      <c r="BV14" s="70">
        <v>118026</v>
      </c>
      <c r="BW14" s="70">
        <v>631974</v>
      </c>
      <c r="BX14" s="70">
        <f t="shared" si="22"/>
        <v>750000</v>
      </c>
      <c r="BY14" s="70"/>
      <c r="BZ14" s="70"/>
      <c r="CA14" s="70">
        <f t="shared" si="32"/>
        <v>0</v>
      </c>
      <c r="CB14" s="70"/>
      <c r="CC14" s="70"/>
      <c r="CD14" s="70">
        <f t="shared" si="23"/>
        <v>0</v>
      </c>
      <c r="CE14" s="70">
        <v>72100</v>
      </c>
      <c r="CF14" s="70"/>
      <c r="CG14" s="70">
        <f t="shared" si="24"/>
        <v>72100</v>
      </c>
      <c r="CH14" s="70"/>
      <c r="CI14" s="70"/>
      <c r="CJ14" s="70">
        <f t="shared" si="25"/>
        <v>0</v>
      </c>
      <c r="CK14" s="70"/>
      <c r="CL14" s="70"/>
      <c r="CM14" s="70">
        <f t="shared" si="26"/>
        <v>0</v>
      </c>
      <c r="CN14" s="70"/>
      <c r="CO14" s="70"/>
      <c r="CP14" s="70">
        <f t="shared" si="27"/>
        <v>0</v>
      </c>
      <c r="CQ14" s="70"/>
      <c r="CR14" s="70"/>
      <c r="CS14" s="70">
        <f t="shared" si="28"/>
        <v>0</v>
      </c>
      <c r="CT14" s="70"/>
      <c r="CU14" s="70"/>
      <c r="CV14" s="70">
        <f t="shared" si="29"/>
        <v>0</v>
      </c>
    </row>
    <row r="15" spans="1:100" ht="15" customHeight="1" x14ac:dyDescent="0.25">
      <c r="A15" s="71" t="s">
        <v>211</v>
      </c>
      <c r="B15" s="70"/>
      <c r="C15" s="70"/>
      <c r="D15" s="70">
        <f t="shared" si="0"/>
        <v>0</v>
      </c>
      <c r="E15" s="70"/>
      <c r="F15" s="70"/>
      <c r="G15" s="70">
        <f t="shared" si="1"/>
        <v>0</v>
      </c>
      <c r="H15" s="70"/>
      <c r="I15" s="70"/>
      <c r="J15" s="70">
        <f t="shared" si="30"/>
        <v>0</v>
      </c>
      <c r="K15" s="70"/>
      <c r="L15" s="70"/>
      <c r="M15" s="70">
        <f t="shared" si="2"/>
        <v>0</v>
      </c>
      <c r="N15" s="70"/>
      <c r="O15" s="70">
        <v>17070685</v>
      </c>
      <c r="P15" s="70">
        <f t="shared" si="3"/>
        <v>17070685</v>
      </c>
      <c r="Q15" s="70"/>
      <c r="R15" s="70"/>
      <c r="S15" s="70">
        <f t="shared" si="4"/>
        <v>0</v>
      </c>
      <c r="T15" s="70"/>
      <c r="U15" s="70"/>
      <c r="V15" s="70">
        <f t="shared" si="5"/>
        <v>0</v>
      </c>
      <c r="W15" s="70"/>
      <c r="X15" s="70"/>
      <c r="Y15" s="70">
        <f t="shared" si="6"/>
        <v>0</v>
      </c>
      <c r="Z15" s="70"/>
      <c r="AA15" s="70"/>
      <c r="AB15" s="70">
        <f t="shared" si="7"/>
        <v>0</v>
      </c>
      <c r="AC15" s="70"/>
      <c r="AD15" s="70"/>
      <c r="AE15" s="70">
        <f t="shared" si="8"/>
        <v>0</v>
      </c>
      <c r="AF15" s="70"/>
      <c r="AG15" s="70"/>
      <c r="AH15" s="70">
        <f t="shared" si="9"/>
        <v>0</v>
      </c>
      <c r="AI15" s="70"/>
      <c r="AJ15" s="70"/>
      <c r="AK15" s="70">
        <f t="shared" si="10"/>
        <v>0</v>
      </c>
      <c r="AL15" s="70"/>
      <c r="AM15" s="70"/>
      <c r="AN15" s="70">
        <f t="shared" si="11"/>
        <v>0</v>
      </c>
      <c r="AO15" s="70"/>
      <c r="AP15" s="70"/>
      <c r="AQ15" s="70">
        <f t="shared" si="12"/>
        <v>0</v>
      </c>
      <c r="AR15" s="70"/>
      <c r="AS15" s="70"/>
      <c r="AT15" s="70">
        <f t="shared" si="13"/>
        <v>0</v>
      </c>
      <c r="AU15" s="70">
        <f>387735+366978-68393</f>
        <v>686320</v>
      </c>
      <c r="AV15" s="70">
        <f>1369726+1296398-241607</f>
        <v>2424517</v>
      </c>
      <c r="AW15" s="70">
        <f t="shared" si="14"/>
        <v>3110837</v>
      </c>
      <c r="AX15" s="70"/>
      <c r="AY15" s="70"/>
      <c r="AZ15" s="70">
        <f t="shared" si="15"/>
        <v>0</v>
      </c>
      <c r="BA15" s="70"/>
      <c r="BB15" s="70"/>
      <c r="BC15" s="70">
        <f t="shared" si="16"/>
        <v>0</v>
      </c>
      <c r="BD15" s="70"/>
      <c r="BE15" s="70"/>
      <c r="BF15" s="70">
        <f t="shared" si="17"/>
        <v>0</v>
      </c>
      <c r="BG15" s="70"/>
      <c r="BH15" s="70"/>
      <c r="BI15" s="70">
        <f t="shared" si="18"/>
        <v>0</v>
      </c>
      <c r="BJ15" s="70"/>
      <c r="BK15" s="70"/>
      <c r="BL15" s="70">
        <f t="shared" si="19"/>
        <v>0</v>
      </c>
      <c r="BM15" s="70"/>
      <c r="BN15" s="70"/>
      <c r="BO15" s="70">
        <f t="shared" si="20"/>
        <v>0</v>
      </c>
      <c r="BP15" s="70"/>
      <c r="BQ15" s="70"/>
      <c r="BR15" s="70">
        <f t="shared" si="31"/>
        <v>0</v>
      </c>
      <c r="BS15" s="70"/>
      <c r="BT15" s="70"/>
      <c r="BU15" s="70">
        <f t="shared" si="21"/>
        <v>0</v>
      </c>
      <c r="BV15" s="70"/>
      <c r="BW15" s="70"/>
      <c r="BX15" s="70">
        <f t="shared" si="22"/>
        <v>0</v>
      </c>
      <c r="BY15" s="70"/>
      <c r="BZ15" s="70"/>
      <c r="CA15" s="70">
        <f t="shared" si="32"/>
        <v>0</v>
      </c>
      <c r="CB15" s="70"/>
      <c r="CC15" s="70"/>
      <c r="CD15" s="70">
        <f t="shared" si="23"/>
        <v>0</v>
      </c>
      <c r="CE15" s="70"/>
      <c r="CF15" s="70"/>
      <c r="CG15" s="70">
        <f t="shared" si="24"/>
        <v>0</v>
      </c>
      <c r="CH15" s="70"/>
      <c r="CI15" s="70"/>
      <c r="CJ15" s="70">
        <f t="shared" si="25"/>
        <v>0</v>
      </c>
      <c r="CK15" s="70"/>
      <c r="CL15" s="70"/>
      <c r="CM15" s="70">
        <f t="shared" si="26"/>
        <v>0</v>
      </c>
      <c r="CN15" s="70"/>
      <c r="CO15" s="70"/>
      <c r="CP15" s="70">
        <f t="shared" si="27"/>
        <v>0</v>
      </c>
      <c r="CQ15" s="70"/>
      <c r="CR15" s="70"/>
      <c r="CS15" s="70">
        <f t="shared" si="28"/>
        <v>0</v>
      </c>
      <c r="CT15" s="70"/>
      <c r="CU15" s="70"/>
      <c r="CV15" s="70">
        <f t="shared" si="29"/>
        <v>0</v>
      </c>
    </row>
    <row r="16" spans="1:100" ht="15" customHeight="1" x14ac:dyDescent="0.25">
      <c r="A16" s="71" t="s">
        <v>212</v>
      </c>
      <c r="B16" s="70"/>
      <c r="C16" s="70"/>
      <c r="D16" s="70">
        <f t="shared" si="0"/>
        <v>0</v>
      </c>
      <c r="E16" s="70"/>
      <c r="F16" s="70"/>
      <c r="G16" s="70">
        <f t="shared" si="1"/>
        <v>0</v>
      </c>
      <c r="H16" s="70"/>
      <c r="I16" s="70"/>
      <c r="J16" s="70">
        <f t="shared" si="30"/>
        <v>0</v>
      </c>
      <c r="K16" s="70"/>
      <c r="L16" s="70"/>
      <c r="M16" s="70">
        <f t="shared" si="2"/>
        <v>0</v>
      </c>
      <c r="N16" s="70"/>
      <c r="O16" s="70"/>
      <c r="P16" s="70">
        <f t="shared" si="3"/>
        <v>0</v>
      </c>
      <c r="Q16" s="70"/>
      <c r="R16" s="70"/>
      <c r="S16" s="70">
        <f t="shared" si="4"/>
        <v>0</v>
      </c>
      <c r="T16" s="70"/>
      <c r="U16" s="70"/>
      <c r="V16" s="70">
        <f t="shared" si="5"/>
        <v>0</v>
      </c>
      <c r="W16" s="70"/>
      <c r="X16" s="70"/>
      <c r="Y16" s="70">
        <f t="shared" si="6"/>
        <v>0</v>
      </c>
      <c r="Z16" s="70"/>
      <c r="AA16" s="70"/>
      <c r="AB16" s="70">
        <f t="shared" si="7"/>
        <v>0</v>
      </c>
      <c r="AC16" s="70"/>
      <c r="AD16" s="70"/>
      <c r="AE16" s="70">
        <f t="shared" si="8"/>
        <v>0</v>
      </c>
      <c r="AF16" s="70"/>
      <c r="AG16" s="70"/>
      <c r="AH16" s="70">
        <f t="shared" si="9"/>
        <v>0</v>
      </c>
      <c r="AI16" s="70"/>
      <c r="AJ16" s="70"/>
      <c r="AK16" s="70">
        <f t="shared" si="10"/>
        <v>0</v>
      </c>
      <c r="AL16" s="70"/>
      <c r="AM16" s="70"/>
      <c r="AN16" s="70">
        <f t="shared" si="11"/>
        <v>0</v>
      </c>
      <c r="AO16" s="70"/>
      <c r="AP16" s="70"/>
      <c r="AQ16" s="70">
        <f t="shared" si="12"/>
        <v>0</v>
      </c>
      <c r="AR16" s="70"/>
      <c r="AS16" s="70"/>
      <c r="AT16" s="70">
        <f t="shared" si="13"/>
        <v>0</v>
      </c>
      <c r="AU16" s="70">
        <v>1103</v>
      </c>
      <c r="AV16" s="70">
        <v>3897</v>
      </c>
      <c r="AW16" s="70">
        <f t="shared" si="14"/>
        <v>5000</v>
      </c>
      <c r="AX16" s="70"/>
      <c r="AY16" s="70"/>
      <c r="AZ16" s="70">
        <f t="shared" si="15"/>
        <v>0</v>
      </c>
      <c r="BA16" s="70"/>
      <c r="BB16" s="70"/>
      <c r="BC16" s="70">
        <f t="shared" si="16"/>
        <v>0</v>
      </c>
      <c r="BD16" s="70"/>
      <c r="BE16" s="70"/>
      <c r="BF16" s="70">
        <f t="shared" si="17"/>
        <v>0</v>
      </c>
      <c r="BG16" s="70"/>
      <c r="BH16" s="70"/>
      <c r="BI16" s="70">
        <f t="shared" si="18"/>
        <v>0</v>
      </c>
      <c r="BJ16" s="70"/>
      <c r="BK16" s="70"/>
      <c r="BL16" s="70">
        <f t="shared" si="19"/>
        <v>0</v>
      </c>
      <c r="BM16" s="70">
        <v>450611</v>
      </c>
      <c r="BN16" s="70"/>
      <c r="BO16" s="70">
        <f t="shared" si="20"/>
        <v>450611</v>
      </c>
      <c r="BP16" s="70"/>
      <c r="BQ16" s="70"/>
      <c r="BR16" s="70">
        <v>500</v>
      </c>
      <c r="BS16" s="70"/>
      <c r="BT16" s="70"/>
      <c r="BU16" s="70">
        <f t="shared" si="21"/>
        <v>0</v>
      </c>
      <c r="BV16" s="70"/>
      <c r="BW16" s="70"/>
      <c r="BX16" s="70">
        <f t="shared" si="22"/>
        <v>0</v>
      </c>
      <c r="BY16" s="70"/>
      <c r="BZ16" s="70"/>
      <c r="CA16" s="70">
        <f t="shared" si="32"/>
        <v>0</v>
      </c>
      <c r="CB16" s="70"/>
      <c r="CC16" s="70"/>
      <c r="CD16" s="70">
        <f t="shared" si="23"/>
        <v>0</v>
      </c>
      <c r="CE16" s="70"/>
      <c r="CF16" s="70"/>
      <c r="CG16" s="70">
        <f t="shared" si="24"/>
        <v>0</v>
      </c>
      <c r="CH16" s="70">
        <v>731641</v>
      </c>
      <c r="CI16" s="70"/>
      <c r="CJ16" s="70">
        <f t="shared" si="25"/>
        <v>731641</v>
      </c>
      <c r="CK16" s="70"/>
      <c r="CL16" s="70"/>
      <c r="CM16" s="70">
        <f t="shared" si="26"/>
        <v>0</v>
      </c>
      <c r="CN16" s="70"/>
      <c r="CO16" s="70"/>
      <c r="CP16" s="70">
        <f t="shared" si="27"/>
        <v>0</v>
      </c>
      <c r="CQ16" s="70"/>
      <c r="CR16" s="70"/>
      <c r="CS16" s="70">
        <f t="shared" si="28"/>
        <v>0</v>
      </c>
      <c r="CT16" s="70"/>
      <c r="CU16" s="70"/>
      <c r="CV16" s="70">
        <f t="shared" si="29"/>
        <v>0</v>
      </c>
    </row>
    <row r="17" spans="1:100" ht="15" customHeight="1" x14ac:dyDescent="0.25">
      <c r="A17" s="71" t="s">
        <v>213</v>
      </c>
      <c r="B17" s="70"/>
      <c r="C17" s="70"/>
      <c r="D17" s="70">
        <f t="shared" si="0"/>
        <v>0</v>
      </c>
      <c r="E17" s="70"/>
      <c r="F17" s="70"/>
      <c r="G17" s="70">
        <f t="shared" si="1"/>
        <v>0</v>
      </c>
      <c r="H17" s="70"/>
      <c r="I17" s="70"/>
      <c r="J17" s="70">
        <f t="shared" si="30"/>
        <v>0</v>
      </c>
      <c r="K17" s="70"/>
      <c r="L17" s="70"/>
      <c r="M17" s="70">
        <f t="shared" si="2"/>
        <v>0</v>
      </c>
      <c r="N17" s="70"/>
      <c r="O17" s="70"/>
      <c r="P17" s="70">
        <f t="shared" si="3"/>
        <v>0</v>
      </c>
      <c r="Q17" s="70">
        <v>111069</v>
      </c>
      <c r="R17" s="70">
        <v>654398</v>
      </c>
      <c r="S17" s="70">
        <f t="shared" si="4"/>
        <v>765467</v>
      </c>
      <c r="T17" s="70">
        <v>25167</v>
      </c>
      <c r="U17" s="70">
        <v>263084</v>
      </c>
      <c r="V17" s="70">
        <f t="shared" si="5"/>
        <v>288251</v>
      </c>
      <c r="W17" s="70"/>
      <c r="X17" s="70"/>
      <c r="Y17" s="70">
        <f t="shared" si="6"/>
        <v>0</v>
      </c>
      <c r="Z17" s="70"/>
      <c r="AA17" s="70"/>
      <c r="AB17" s="70">
        <f t="shared" si="7"/>
        <v>0</v>
      </c>
      <c r="AC17" s="70"/>
      <c r="AD17" s="70"/>
      <c r="AE17" s="70">
        <f t="shared" si="8"/>
        <v>0</v>
      </c>
      <c r="AF17" s="70"/>
      <c r="AG17" s="70"/>
      <c r="AH17" s="70">
        <f t="shared" si="9"/>
        <v>0</v>
      </c>
      <c r="AI17" s="70"/>
      <c r="AJ17" s="70"/>
      <c r="AK17" s="70">
        <f t="shared" si="10"/>
        <v>0</v>
      </c>
      <c r="AL17" s="70"/>
      <c r="AM17" s="70"/>
      <c r="AN17" s="70">
        <f t="shared" si="11"/>
        <v>0</v>
      </c>
      <c r="AO17" s="70"/>
      <c r="AP17" s="70"/>
      <c r="AQ17" s="70">
        <f t="shared" si="12"/>
        <v>0</v>
      </c>
      <c r="AR17" s="70">
        <v>248442</v>
      </c>
      <c r="AS17" s="70">
        <v>837450</v>
      </c>
      <c r="AT17" s="70">
        <f t="shared" si="13"/>
        <v>1085892</v>
      </c>
      <c r="AU17" s="70"/>
      <c r="AV17" s="70"/>
      <c r="AW17" s="70">
        <f t="shared" si="14"/>
        <v>0</v>
      </c>
      <c r="AX17" s="70"/>
      <c r="AY17" s="70"/>
      <c r="AZ17" s="70">
        <f t="shared" si="15"/>
        <v>0</v>
      </c>
      <c r="BA17" s="70"/>
      <c r="BB17" s="70"/>
      <c r="BC17" s="70">
        <f t="shared" si="16"/>
        <v>0</v>
      </c>
      <c r="BD17" s="70"/>
      <c r="BE17" s="70"/>
      <c r="BF17" s="70">
        <f t="shared" si="17"/>
        <v>0</v>
      </c>
      <c r="BG17" s="70"/>
      <c r="BH17" s="70"/>
      <c r="BI17" s="70">
        <f t="shared" si="18"/>
        <v>0</v>
      </c>
      <c r="BJ17" s="70">
        <v>2666</v>
      </c>
      <c r="BK17" s="70"/>
      <c r="BL17" s="70">
        <f t="shared" si="19"/>
        <v>2666</v>
      </c>
      <c r="BM17" s="70"/>
      <c r="BN17" s="70"/>
      <c r="BO17" s="70">
        <f t="shared" si="20"/>
        <v>0</v>
      </c>
      <c r="BP17" s="70"/>
      <c r="BQ17" s="70"/>
      <c r="BR17" s="70">
        <f t="shared" si="31"/>
        <v>0</v>
      </c>
      <c r="BS17" s="70"/>
      <c r="BT17" s="70"/>
      <c r="BU17" s="70">
        <f t="shared" si="21"/>
        <v>0</v>
      </c>
      <c r="BV17" s="70"/>
      <c r="BW17" s="70"/>
      <c r="BX17" s="70">
        <f t="shared" si="22"/>
        <v>0</v>
      </c>
      <c r="BY17" s="70"/>
      <c r="BZ17" s="70"/>
      <c r="CA17" s="70">
        <f t="shared" si="32"/>
        <v>0</v>
      </c>
      <c r="CB17" s="70"/>
      <c r="CC17" s="70"/>
      <c r="CD17" s="70">
        <f t="shared" si="23"/>
        <v>0</v>
      </c>
      <c r="CE17" s="70"/>
      <c r="CF17" s="70"/>
      <c r="CG17" s="70">
        <f t="shared" si="24"/>
        <v>0</v>
      </c>
      <c r="CH17" s="70"/>
      <c r="CI17" s="70"/>
      <c r="CJ17" s="70">
        <f t="shared" si="25"/>
        <v>0</v>
      </c>
      <c r="CK17" s="70">
        <v>28428</v>
      </c>
      <c r="CL17" s="70">
        <v>41292</v>
      </c>
      <c r="CM17" s="70">
        <f t="shared" si="26"/>
        <v>69720</v>
      </c>
      <c r="CN17" s="70"/>
      <c r="CO17" s="70"/>
      <c r="CP17" s="70">
        <f t="shared" si="27"/>
        <v>0</v>
      </c>
      <c r="CQ17" s="70"/>
      <c r="CR17" s="70"/>
      <c r="CS17" s="70">
        <f t="shared" si="28"/>
        <v>0</v>
      </c>
      <c r="CT17" s="70"/>
      <c r="CU17" s="70"/>
      <c r="CV17" s="70">
        <f t="shared" si="29"/>
        <v>0</v>
      </c>
    </row>
    <row r="18" spans="1:100" ht="15" customHeight="1" x14ac:dyDescent="0.25">
      <c r="A18" s="71" t="s">
        <v>214</v>
      </c>
      <c r="B18" s="70">
        <v>521917</v>
      </c>
      <c r="C18" s="70">
        <v>427713</v>
      </c>
      <c r="D18" s="70">
        <f t="shared" si="0"/>
        <v>949630</v>
      </c>
      <c r="E18" s="70">
        <f>99602+50640</f>
        <v>150242</v>
      </c>
      <c r="F18" s="70">
        <f>708509+553758</f>
        <v>1262267</v>
      </c>
      <c r="G18" s="70">
        <f t="shared" si="1"/>
        <v>1412509</v>
      </c>
      <c r="H18" s="70"/>
      <c r="I18" s="70"/>
      <c r="J18" s="70">
        <v>6208513</v>
      </c>
      <c r="K18" s="70">
        <v>500000</v>
      </c>
      <c r="L18" s="70">
        <v>2801684</v>
      </c>
      <c r="M18" s="70">
        <f t="shared" si="2"/>
        <v>3301684</v>
      </c>
      <c r="N18" s="70">
        <v>5843373</v>
      </c>
      <c r="O18" s="70">
        <v>30210906</v>
      </c>
      <c r="P18" s="70">
        <f t="shared" si="3"/>
        <v>36054279</v>
      </c>
      <c r="Q18" s="70">
        <v>2081272</v>
      </c>
      <c r="R18" s="70">
        <v>12262433</v>
      </c>
      <c r="S18" s="70">
        <f t="shared" si="4"/>
        <v>14343705</v>
      </c>
      <c r="T18" s="70">
        <v>1103334</v>
      </c>
      <c r="U18" s="70">
        <v>11533556</v>
      </c>
      <c r="V18" s="70">
        <f t="shared" si="5"/>
        <v>12636890</v>
      </c>
      <c r="W18" s="70">
        <v>448970</v>
      </c>
      <c r="X18" s="70">
        <v>697054</v>
      </c>
      <c r="Y18" s="70">
        <f t="shared" si="6"/>
        <v>1146024</v>
      </c>
      <c r="Z18" s="70">
        <v>49949</v>
      </c>
      <c r="AA18" s="70">
        <v>252027</v>
      </c>
      <c r="AB18" s="70">
        <f t="shared" si="7"/>
        <v>301976</v>
      </c>
      <c r="AC18" s="70">
        <v>420586</v>
      </c>
      <c r="AD18" s="70">
        <v>49373</v>
      </c>
      <c r="AE18" s="70">
        <f t="shared" si="8"/>
        <v>469959</v>
      </c>
      <c r="AF18" s="70">
        <v>11239070.789999999</v>
      </c>
      <c r="AG18" s="70">
        <v>16173297</v>
      </c>
      <c r="AH18" s="70">
        <f t="shared" si="9"/>
        <v>27412367.789999999</v>
      </c>
      <c r="AI18" s="70">
        <v>2029582</v>
      </c>
      <c r="AJ18" s="70">
        <v>10785652</v>
      </c>
      <c r="AK18" s="70">
        <f t="shared" si="10"/>
        <v>12815234</v>
      </c>
      <c r="AL18" s="70"/>
      <c r="AM18" s="70">
        <v>2560117</v>
      </c>
      <c r="AN18" s="70">
        <f t="shared" si="11"/>
        <v>2560117</v>
      </c>
      <c r="AO18" s="70">
        <v>5462230</v>
      </c>
      <c r="AP18" s="70">
        <v>21676473</v>
      </c>
      <c r="AQ18" s="70">
        <f t="shared" si="12"/>
        <v>27138703</v>
      </c>
      <c r="AR18" s="70">
        <v>14444895</v>
      </c>
      <c r="AS18" s="70">
        <v>48690907</v>
      </c>
      <c r="AT18" s="70">
        <f>AS18+AR18</f>
        <v>63135802</v>
      </c>
      <c r="AU18" s="70">
        <v>6351359</v>
      </c>
      <c r="AV18" s="70">
        <v>22437016</v>
      </c>
      <c r="AW18" s="70">
        <f t="shared" si="14"/>
        <v>28788375</v>
      </c>
      <c r="AX18" s="70">
        <v>474818</v>
      </c>
      <c r="AY18" s="70">
        <v>1161178</v>
      </c>
      <c r="AZ18" s="70">
        <f t="shared" si="15"/>
        <v>1635996</v>
      </c>
      <c r="BA18" s="70">
        <v>961379</v>
      </c>
      <c r="BB18" s="70">
        <v>3357518</v>
      </c>
      <c r="BC18" s="70">
        <f t="shared" si="16"/>
        <v>4318897</v>
      </c>
      <c r="BD18" s="70">
        <v>357601</v>
      </c>
      <c r="BE18" s="70">
        <v>2440029</v>
      </c>
      <c r="BF18" s="70">
        <f t="shared" si="17"/>
        <v>2797630</v>
      </c>
      <c r="BG18" s="70">
        <v>546183</v>
      </c>
      <c r="BH18" s="70">
        <v>904945</v>
      </c>
      <c r="BI18" s="70">
        <f t="shared" si="18"/>
        <v>1451128</v>
      </c>
      <c r="BJ18" s="70">
        <v>1116826</v>
      </c>
      <c r="BK18" s="70">
        <v>13319505</v>
      </c>
      <c r="BL18" s="70">
        <f t="shared" si="19"/>
        <v>14436331</v>
      </c>
      <c r="BM18" s="70">
        <v>16452132</v>
      </c>
      <c r="BN18" s="70">
        <v>33064871</v>
      </c>
      <c r="BO18" s="70">
        <f t="shared" si="20"/>
        <v>49517003</v>
      </c>
      <c r="BP18" s="70"/>
      <c r="BQ18" s="70"/>
      <c r="BR18" s="70">
        <v>33726579</v>
      </c>
      <c r="BS18" s="70">
        <v>334199</v>
      </c>
      <c r="BT18" s="70">
        <v>477499</v>
      </c>
      <c r="BU18" s="70">
        <f t="shared" si="21"/>
        <v>811698</v>
      </c>
      <c r="BV18" s="70">
        <v>1549743</v>
      </c>
      <c r="BW18" s="70">
        <v>8298128</v>
      </c>
      <c r="BX18" s="70">
        <f t="shared" si="22"/>
        <v>9847871</v>
      </c>
      <c r="BY18" s="70"/>
      <c r="BZ18" s="70"/>
      <c r="CA18" s="70">
        <f>3523385+903249</f>
        <v>4426634</v>
      </c>
      <c r="CB18" s="70">
        <v>1834931</v>
      </c>
      <c r="CC18" s="70">
        <v>7420255</v>
      </c>
      <c r="CD18" s="70">
        <f t="shared" si="23"/>
        <v>9255186</v>
      </c>
      <c r="CE18" s="70">
        <f>6069557-61922</f>
        <v>6007635</v>
      </c>
      <c r="CF18" s="70">
        <f>12597874-34918</f>
        <v>12562956</v>
      </c>
      <c r="CG18" s="70">
        <f t="shared" si="24"/>
        <v>18570591</v>
      </c>
      <c r="CH18" s="70">
        <v>6473865</v>
      </c>
      <c r="CI18" s="70">
        <v>27009487</v>
      </c>
      <c r="CJ18" s="70">
        <f t="shared" si="25"/>
        <v>33483352</v>
      </c>
      <c r="CK18" s="70">
        <v>4337862</v>
      </c>
      <c r="CL18" s="70">
        <v>6300665</v>
      </c>
      <c r="CM18" s="70">
        <f t="shared" si="26"/>
        <v>10638527</v>
      </c>
      <c r="CN18" s="70">
        <v>4371080</v>
      </c>
      <c r="CO18" s="70">
        <v>17665053</v>
      </c>
      <c r="CP18" s="70">
        <f t="shared" si="27"/>
        <v>22036133</v>
      </c>
      <c r="CQ18" s="70"/>
      <c r="CR18" s="70"/>
      <c r="CS18">
        <v>54489819</v>
      </c>
      <c r="CT18" s="70">
        <v>2112640</v>
      </c>
      <c r="CU18" s="70">
        <v>3908879</v>
      </c>
      <c r="CV18" s="70">
        <f t="shared" si="29"/>
        <v>6021519</v>
      </c>
    </row>
    <row r="19" spans="1:100" ht="15" customHeight="1" x14ac:dyDescent="0.25">
      <c r="A19" s="71" t="s">
        <v>215</v>
      </c>
      <c r="B19" s="70"/>
      <c r="C19" s="70"/>
      <c r="D19" s="70">
        <f t="shared" si="0"/>
        <v>0</v>
      </c>
      <c r="E19" s="70"/>
      <c r="F19" s="70">
        <v>349741</v>
      </c>
      <c r="G19" s="70">
        <f t="shared" si="1"/>
        <v>349741</v>
      </c>
      <c r="H19" s="70"/>
      <c r="I19" s="70"/>
      <c r="J19" s="70">
        <f t="shared" si="30"/>
        <v>0</v>
      </c>
      <c r="K19" s="70"/>
      <c r="L19" s="70"/>
      <c r="M19" s="70">
        <f t="shared" si="2"/>
        <v>0</v>
      </c>
      <c r="N19" s="70"/>
      <c r="O19" s="70"/>
      <c r="P19" s="70">
        <f t="shared" si="3"/>
        <v>0</v>
      </c>
      <c r="Q19" s="70">
        <f>302872-5804</f>
        <v>297068</v>
      </c>
      <c r="R19" s="70">
        <f>1784462-34199</f>
        <v>1750263</v>
      </c>
      <c r="S19" s="70">
        <f t="shared" si="4"/>
        <v>2047331</v>
      </c>
      <c r="T19" s="70">
        <f>349560+5423+13097</f>
        <v>368080</v>
      </c>
      <c r="U19" s="70">
        <f>3637853+56692+136903</f>
        <v>3831448</v>
      </c>
      <c r="V19" s="70">
        <f t="shared" si="5"/>
        <v>4199528</v>
      </c>
      <c r="W19" s="70">
        <v>50000</v>
      </c>
      <c r="X19" s="70">
        <v>150254</v>
      </c>
      <c r="Y19" s="70">
        <f t="shared" si="6"/>
        <v>200254</v>
      </c>
      <c r="Z19" s="70">
        <v>49974</v>
      </c>
      <c r="AA19" s="70">
        <v>100146</v>
      </c>
      <c r="AB19" s="70">
        <f t="shared" si="7"/>
        <v>150120</v>
      </c>
      <c r="AC19" s="70">
        <v>151753</v>
      </c>
      <c r="AD19" s="70"/>
      <c r="AE19" s="70">
        <f t="shared" si="8"/>
        <v>151753</v>
      </c>
      <c r="AF19" s="70">
        <v>886500.83</v>
      </c>
      <c r="AG19" s="70">
        <v>1275696.31</v>
      </c>
      <c r="AH19" s="70">
        <f t="shared" si="9"/>
        <v>2162197.14</v>
      </c>
      <c r="AI19" s="70">
        <f>-5741+112098</f>
        <v>106357</v>
      </c>
      <c r="AJ19" s="70">
        <f>-30509+595711</f>
        <v>565202</v>
      </c>
      <c r="AK19" s="70">
        <f t="shared" si="10"/>
        <v>671559</v>
      </c>
      <c r="AL19" s="70"/>
      <c r="AM19" s="70"/>
      <c r="AN19" s="70">
        <f t="shared" si="11"/>
        <v>0</v>
      </c>
      <c r="AO19" s="70">
        <f>80324+14189+20127</f>
        <v>114640</v>
      </c>
      <c r="AP19" s="70">
        <f>318763+56309+79873</f>
        <v>454945</v>
      </c>
      <c r="AQ19" s="70">
        <f t="shared" si="12"/>
        <v>569585</v>
      </c>
      <c r="AR19" s="70"/>
      <c r="AS19" s="70"/>
      <c r="AT19" s="70">
        <f t="shared" si="13"/>
        <v>0</v>
      </c>
      <c r="AU19" s="70"/>
      <c r="AV19" s="70"/>
      <c r="AW19" s="70">
        <f t="shared" si="14"/>
        <v>0</v>
      </c>
      <c r="AX19" s="70">
        <v>33736</v>
      </c>
      <c r="AY19" s="70">
        <v>82501</v>
      </c>
      <c r="AZ19" s="70">
        <f t="shared" si="15"/>
        <v>116237</v>
      </c>
      <c r="BA19" s="70">
        <v>22260</v>
      </c>
      <c r="BB19" s="70">
        <v>77740</v>
      </c>
      <c r="BC19" s="70">
        <f t="shared" si="16"/>
        <v>100000</v>
      </c>
      <c r="BD19" s="70">
        <v>47725</v>
      </c>
      <c r="BE19" s="70">
        <v>325642</v>
      </c>
      <c r="BF19" s="70">
        <f t="shared" si="17"/>
        <v>373367</v>
      </c>
      <c r="BG19" s="70"/>
      <c r="BH19" s="70">
        <v>325318</v>
      </c>
      <c r="BI19" s="70">
        <f t="shared" si="18"/>
        <v>325318</v>
      </c>
      <c r="BJ19" s="70"/>
      <c r="BK19" s="70"/>
      <c r="BL19" s="70">
        <f t="shared" si="19"/>
        <v>0</v>
      </c>
      <c r="BM19" s="70">
        <v>11841101</v>
      </c>
      <c r="BN19" s="70">
        <v>23164308</v>
      </c>
      <c r="BO19" s="70">
        <f t="shared" si="20"/>
        <v>35005409</v>
      </c>
      <c r="BP19" s="70"/>
      <c r="BQ19" s="70"/>
      <c r="BR19" s="70">
        <f t="shared" si="31"/>
        <v>0</v>
      </c>
      <c r="BS19" s="70">
        <v>49397</v>
      </c>
      <c r="BT19" s="70">
        <v>70578</v>
      </c>
      <c r="BU19" s="70">
        <f t="shared" si="21"/>
        <v>119975</v>
      </c>
      <c r="BV19" s="70">
        <f>263968-5640</f>
        <v>258328</v>
      </c>
      <c r="BW19" s="70">
        <f>1413434-29360</f>
        <v>1384074</v>
      </c>
      <c r="BX19" s="70">
        <f t="shared" si="22"/>
        <v>1642402</v>
      </c>
      <c r="BY19" s="70"/>
      <c r="BZ19" s="70"/>
      <c r="CA19" s="70">
        <v>50000</v>
      </c>
      <c r="CB19" s="70">
        <v>444122</v>
      </c>
      <c r="CC19" s="70">
        <v>1795978</v>
      </c>
      <c r="CD19" s="70">
        <f t="shared" si="23"/>
        <v>2240100</v>
      </c>
      <c r="CE19" s="70"/>
      <c r="CF19" s="70"/>
      <c r="CG19" s="70">
        <f t="shared" si="24"/>
        <v>0</v>
      </c>
      <c r="CH19" s="70"/>
      <c r="CI19" s="70"/>
      <c r="CJ19" s="70">
        <f t="shared" si="25"/>
        <v>0</v>
      </c>
      <c r="CK19" s="70">
        <v>20691</v>
      </c>
      <c r="CL19" s="70">
        <v>30053</v>
      </c>
      <c r="CM19" s="70">
        <f t="shared" si="26"/>
        <v>50744</v>
      </c>
      <c r="CN19" s="70">
        <f>145214+647081</f>
        <v>792295</v>
      </c>
      <c r="CO19" s="70">
        <f>586862+2615081</f>
        <v>3201943</v>
      </c>
      <c r="CP19" s="70">
        <f t="shared" si="27"/>
        <v>3994238</v>
      </c>
      <c r="CQ19" s="70"/>
      <c r="CR19" s="70"/>
      <c r="CS19" s="70">
        <v>20719458</v>
      </c>
      <c r="CT19" s="70">
        <v>59644</v>
      </c>
      <c r="CU19" s="70">
        <v>110356</v>
      </c>
      <c r="CV19" s="70">
        <f t="shared" si="29"/>
        <v>170000</v>
      </c>
    </row>
    <row r="20" spans="1:100" s="73" customFormat="1" ht="15" customHeight="1" x14ac:dyDescent="0.25">
      <c r="A20" s="69" t="s">
        <v>216</v>
      </c>
      <c r="B20" s="72">
        <f>SUM(B6:B19)</f>
        <v>1424530</v>
      </c>
      <c r="C20" s="72">
        <f t="shared" ref="C20:BN20" si="33">SUM(C6:C19)</f>
        <v>1167408</v>
      </c>
      <c r="D20" s="72">
        <f t="shared" si="33"/>
        <v>2591938</v>
      </c>
      <c r="E20" s="72">
        <f t="shared" si="33"/>
        <v>1652358</v>
      </c>
      <c r="F20" s="72">
        <f t="shared" si="33"/>
        <v>3126382</v>
      </c>
      <c r="G20" s="72">
        <f t="shared" si="33"/>
        <v>4778740</v>
      </c>
      <c r="H20" s="72">
        <f t="shared" si="33"/>
        <v>0</v>
      </c>
      <c r="I20" s="72">
        <f t="shared" si="33"/>
        <v>0</v>
      </c>
      <c r="J20" s="72">
        <f t="shared" si="33"/>
        <v>35061696</v>
      </c>
      <c r="K20" s="72">
        <f t="shared" si="33"/>
        <v>1200000</v>
      </c>
      <c r="L20" s="72">
        <f t="shared" si="33"/>
        <v>9892891</v>
      </c>
      <c r="M20" s="72">
        <f t="shared" si="33"/>
        <v>11092891</v>
      </c>
      <c r="N20" s="72">
        <f t="shared" si="33"/>
        <v>33183637</v>
      </c>
      <c r="O20" s="72">
        <f t="shared" si="33"/>
        <v>118521014</v>
      </c>
      <c r="P20" s="72">
        <f t="shared" si="33"/>
        <v>151704651</v>
      </c>
      <c r="Q20" s="72">
        <f t="shared" si="33"/>
        <v>5184670</v>
      </c>
      <c r="R20" s="72">
        <f t="shared" si="33"/>
        <v>30547025</v>
      </c>
      <c r="S20" s="72">
        <f t="shared" si="33"/>
        <v>35731695</v>
      </c>
      <c r="T20" s="72">
        <f t="shared" si="33"/>
        <v>6202163</v>
      </c>
      <c r="U20" s="72">
        <f t="shared" si="33"/>
        <v>64817250</v>
      </c>
      <c r="V20" s="72">
        <f t="shared" si="33"/>
        <v>71019413</v>
      </c>
      <c r="W20" s="72">
        <f t="shared" si="33"/>
        <v>1444921</v>
      </c>
      <c r="X20" s="72">
        <f t="shared" si="33"/>
        <v>2637248</v>
      </c>
      <c r="Y20" s="72">
        <f t="shared" si="33"/>
        <v>4082169</v>
      </c>
      <c r="Z20" s="72">
        <f t="shared" si="33"/>
        <v>353989</v>
      </c>
      <c r="AA20" s="72">
        <f t="shared" si="33"/>
        <v>1308529</v>
      </c>
      <c r="AB20" s="72">
        <f t="shared" si="33"/>
        <v>1662518</v>
      </c>
      <c r="AC20" s="72">
        <f t="shared" si="33"/>
        <v>1030594</v>
      </c>
      <c r="AD20" s="72">
        <f t="shared" si="33"/>
        <v>304679</v>
      </c>
      <c r="AE20" s="72">
        <f t="shared" si="33"/>
        <v>1335273</v>
      </c>
      <c r="AF20" s="72">
        <f t="shared" si="33"/>
        <v>36304020.659999996</v>
      </c>
      <c r="AG20" s="72">
        <f t="shared" si="33"/>
        <v>52242371.170000002</v>
      </c>
      <c r="AH20" s="72">
        <f t="shared" si="33"/>
        <v>88546391.829999998</v>
      </c>
      <c r="AI20" s="72">
        <f t="shared" si="33"/>
        <v>5228961</v>
      </c>
      <c r="AJ20" s="72">
        <f t="shared" si="33"/>
        <v>27787872</v>
      </c>
      <c r="AK20" s="72">
        <f t="shared" si="33"/>
        <v>33016833</v>
      </c>
      <c r="AL20" s="72">
        <f t="shared" si="33"/>
        <v>0</v>
      </c>
      <c r="AM20" s="72">
        <f t="shared" si="33"/>
        <v>10423433</v>
      </c>
      <c r="AN20" s="72">
        <f t="shared" si="33"/>
        <v>10423433</v>
      </c>
      <c r="AO20" s="72">
        <f t="shared" si="33"/>
        <v>17089770</v>
      </c>
      <c r="AP20" s="72">
        <f t="shared" si="33"/>
        <v>67819551</v>
      </c>
      <c r="AQ20" s="72">
        <f t="shared" si="33"/>
        <v>84909321</v>
      </c>
      <c r="AR20" s="72">
        <f t="shared" si="33"/>
        <v>47931258</v>
      </c>
      <c r="AS20" s="72">
        <f t="shared" si="33"/>
        <v>160800007</v>
      </c>
      <c r="AT20" s="72">
        <f t="shared" si="33"/>
        <v>208731265</v>
      </c>
      <c r="AU20" s="72">
        <f t="shared" si="33"/>
        <v>16118051</v>
      </c>
      <c r="AV20" s="72">
        <f t="shared" si="33"/>
        <v>56939147</v>
      </c>
      <c r="AW20" s="72">
        <f t="shared" si="33"/>
        <v>73057198</v>
      </c>
      <c r="AX20" s="72">
        <f t="shared" si="33"/>
        <v>934096</v>
      </c>
      <c r="AY20" s="72">
        <f t="shared" si="33"/>
        <v>2630276</v>
      </c>
      <c r="AZ20" s="72">
        <f t="shared" si="33"/>
        <v>3564372</v>
      </c>
      <c r="BA20" s="72">
        <f t="shared" si="33"/>
        <v>3322137</v>
      </c>
      <c r="BB20" s="72">
        <f t="shared" si="33"/>
        <v>11602223</v>
      </c>
      <c r="BC20" s="72">
        <f t="shared" si="33"/>
        <v>14924360</v>
      </c>
      <c r="BD20" s="72">
        <f t="shared" si="33"/>
        <v>1945744</v>
      </c>
      <c r="BE20" s="72">
        <f t="shared" si="33"/>
        <v>13276429</v>
      </c>
      <c r="BF20" s="72">
        <f t="shared" si="33"/>
        <v>15222173</v>
      </c>
      <c r="BG20" s="72">
        <f t="shared" si="33"/>
        <v>2062636</v>
      </c>
      <c r="BH20" s="72">
        <f t="shared" si="33"/>
        <v>3980527</v>
      </c>
      <c r="BI20" s="72">
        <f t="shared" si="33"/>
        <v>6043163</v>
      </c>
      <c r="BJ20" s="72">
        <f t="shared" si="33"/>
        <v>16605451</v>
      </c>
      <c r="BK20" s="72">
        <f t="shared" si="33"/>
        <v>198040090</v>
      </c>
      <c r="BL20" s="72">
        <f t="shared" si="33"/>
        <v>214645541</v>
      </c>
      <c r="BM20" s="72">
        <f t="shared" si="33"/>
        <v>188333026</v>
      </c>
      <c r="BN20" s="72">
        <f t="shared" si="33"/>
        <v>367321999</v>
      </c>
      <c r="BO20" s="72">
        <f t="shared" ref="BO20:CV20" si="34">SUM(BO6:BO19)</f>
        <v>555655025</v>
      </c>
      <c r="BP20" s="72">
        <f t="shared" si="34"/>
        <v>0</v>
      </c>
      <c r="BQ20" s="72">
        <f t="shared" si="34"/>
        <v>0</v>
      </c>
      <c r="BR20" s="72">
        <f t="shared" si="34"/>
        <v>218411215</v>
      </c>
      <c r="BS20" s="72">
        <f t="shared" si="34"/>
        <v>1193737</v>
      </c>
      <c r="BT20" s="72">
        <f t="shared" si="34"/>
        <v>1705595</v>
      </c>
      <c r="BU20" s="72">
        <f t="shared" si="34"/>
        <v>2899332</v>
      </c>
      <c r="BV20" s="72">
        <f t="shared" si="34"/>
        <v>12364112</v>
      </c>
      <c r="BW20" s="72">
        <f t="shared" si="34"/>
        <v>66204721</v>
      </c>
      <c r="BX20" s="72">
        <f t="shared" si="34"/>
        <v>78568833</v>
      </c>
      <c r="BY20" s="72">
        <f t="shared" si="34"/>
        <v>0</v>
      </c>
      <c r="BZ20" s="72">
        <f t="shared" si="34"/>
        <v>0</v>
      </c>
      <c r="CA20" s="72">
        <f t="shared" si="34"/>
        <v>10684879</v>
      </c>
      <c r="CB20" s="72">
        <f t="shared" si="34"/>
        <v>7983725</v>
      </c>
      <c r="CC20" s="72">
        <f t="shared" si="34"/>
        <v>32285291</v>
      </c>
      <c r="CD20" s="72">
        <f t="shared" si="34"/>
        <v>40269016</v>
      </c>
      <c r="CE20" s="72">
        <f t="shared" si="34"/>
        <v>14303330</v>
      </c>
      <c r="CF20" s="72">
        <f t="shared" si="34"/>
        <v>36231088</v>
      </c>
      <c r="CG20" s="72">
        <f t="shared" si="34"/>
        <v>50534418</v>
      </c>
      <c r="CH20" s="72">
        <f t="shared" si="34"/>
        <v>13306934</v>
      </c>
      <c r="CI20" s="72">
        <f t="shared" si="34"/>
        <v>54018103</v>
      </c>
      <c r="CJ20" s="72">
        <f t="shared" si="34"/>
        <v>67325037</v>
      </c>
      <c r="CK20" s="72">
        <f t="shared" si="34"/>
        <v>13309635</v>
      </c>
      <c r="CL20" s="72">
        <f t="shared" si="34"/>
        <v>19332000</v>
      </c>
      <c r="CM20" s="72">
        <f t="shared" si="34"/>
        <v>32641635</v>
      </c>
      <c r="CN20" s="72">
        <f t="shared" si="34"/>
        <v>18795683</v>
      </c>
      <c r="CO20" s="72">
        <f t="shared" si="34"/>
        <v>75959887</v>
      </c>
      <c r="CP20" s="72">
        <f t="shared" si="34"/>
        <v>94755570</v>
      </c>
      <c r="CQ20" s="72">
        <f t="shared" si="34"/>
        <v>0</v>
      </c>
      <c r="CR20" s="72">
        <f t="shared" si="34"/>
        <v>0</v>
      </c>
      <c r="CS20" s="72">
        <f t="shared" si="34"/>
        <v>288585407</v>
      </c>
      <c r="CT20" s="72">
        <f t="shared" si="34"/>
        <v>5818290</v>
      </c>
      <c r="CU20" s="72">
        <f t="shared" si="34"/>
        <v>10765202</v>
      </c>
      <c r="CV20" s="72">
        <f t="shared" si="34"/>
        <v>16583492</v>
      </c>
    </row>
    <row r="21" spans="1:100" ht="15" customHeight="1" x14ac:dyDescent="0.25">
      <c r="A21" s="69" t="s">
        <v>217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ht="30" x14ac:dyDescent="0.25">
      <c r="A22" s="71" t="s">
        <v>202</v>
      </c>
      <c r="B22" s="70">
        <v>136425</v>
      </c>
      <c r="C22" s="70">
        <v>111801</v>
      </c>
      <c r="D22" s="70">
        <f t="shared" ref="D22:D35" si="35">B22+C22</f>
        <v>248226</v>
      </c>
      <c r="E22" s="70"/>
      <c r="F22" s="70"/>
      <c r="G22" s="70">
        <f t="shared" ref="G22:G35" si="36">F22+E22</f>
        <v>0</v>
      </c>
      <c r="H22" s="70"/>
      <c r="I22" s="70"/>
      <c r="J22" s="70">
        <v>6492370</v>
      </c>
      <c r="K22" s="70"/>
      <c r="L22" s="70">
        <v>438026</v>
      </c>
      <c r="M22" s="70">
        <f t="shared" ref="M22:M35" si="37">L22+K22</f>
        <v>438026</v>
      </c>
      <c r="N22" s="70">
        <v>1600000</v>
      </c>
      <c r="O22" s="70">
        <v>3665643</v>
      </c>
      <c r="P22" s="70">
        <f t="shared" ref="P22:P35" si="38">O22+N22</f>
        <v>5265643</v>
      </c>
      <c r="Q22" s="70">
        <v>43536</v>
      </c>
      <c r="R22" s="70">
        <v>256507</v>
      </c>
      <c r="S22" s="70">
        <f t="shared" ref="S22:S35" si="39">R22+Q22</f>
        <v>300043</v>
      </c>
      <c r="T22" s="70">
        <v>4376</v>
      </c>
      <c r="U22" s="70">
        <v>45743</v>
      </c>
      <c r="V22" s="70">
        <f t="shared" ref="V22:V35" si="40">U22+T22</f>
        <v>50119</v>
      </c>
      <c r="W22" s="70"/>
      <c r="X22" s="70"/>
      <c r="Y22" s="70">
        <f t="shared" ref="Y22:Y35" si="41">X22+W22</f>
        <v>0</v>
      </c>
      <c r="Z22" s="70"/>
      <c r="AA22" s="70"/>
      <c r="AB22" s="70">
        <f t="shared" ref="AB22:AB35" si="42">AA22+Z22</f>
        <v>0</v>
      </c>
      <c r="AC22" s="70">
        <v>146165</v>
      </c>
      <c r="AD22" s="70"/>
      <c r="AE22" s="70">
        <f t="shared" ref="AE22:AE35" si="43">AD22+AC22</f>
        <v>146165</v>
      </c>
      <c r="AF22" s="70">
        <f>728914.07+1374077.88</f>
        <v>2102991.9499999997</v>
      </c>
      <c r="AG22" s="70">
        <f>1048925.12+1977331.58</f>
        <v>3026256.7</v>
      </c>
      <c r="AH22" s="70">
        <f t="shared" ref="AH22:AH35" si="44">AG22+AF22</f>
        <v>5129248.6500000004</v>
      </c>
      <c r="AI22" s="70">
        <v>268034</v>
      </c>
      <c r="AJ22" s="70">
        <v>1424394</v>
      </c>
      <c r="AK22" s="70">
        <f t="shared" ref="AK22:AK35" si="45">AJ22+AI22</f>
        <v>1692428</v>
      </c>
      <c r="AL22" s="70"/>
      <c r="AM22" s="70">
        <v>148807</v>
      </c>
      <c r="AN22" s="70">
        <f t="shared" ref="AN22:AN35" si="46">AM22+AL22</f>
        <v>148807</v>
      </c>
      <c r="AO22" s="70">
        <v>244171</v>
      </c>
      <c r="AP22" s="70">
        <v>968975</v>
      </c>
      <c r="AQ22" s="70">
        <f t="shared" ref="AQ22:AQ35" si="47">AP22+AO22</f>
        <v>1213146</v>
      </c>
      <c r="AR22" s="70">
        <v>2191181</v>
      </c>
      <c r="AS22" s="70">
        <v>7386041</v>
      </c>
      <c r="AT22" s="70">
        <f t="shared" ref="AT22:AT35" si="48">AS22+AR22</f>
        <v>9577222</v>
      </c>
      <c r="AU22" s="70">
        <v>199185</v>
      </c>
      <c r="AV22" s="70">
        <v>703648</v>
      </c>
      <c r="AW22" s="70">
        <f t="shared" ref="AW22:AW35" si="49">AV22+AU22</f>
        <v>902833</v>
      </c>
      <c r="AX22" s="70">
        <v>268942</v>
      </c>
      <c r="AY22" s="70">
        <v>657703</v>
      </c>
      <c r="AZ22" s="70">
        <f t="shared" ref="AZ22:AZ35" si="50">AY22+AX22</f>
        <v>926645</v>
      </c>
      <c r="BA22" s="70">
        <v>290098</v>
      </c>
      <c r="BB22" s="70">
        <v>1013137</v>
      </c>
      <c r="BC22" s="70">
        <f t="shared" ref="BC22:BC35" si="51">BB22+BA22</f>
        <v>1303235</v>
      </c>
      <c r="BD22" s="70"/>
      <c r="BE22" s="70"/>
      <c r="BF22" s="70">
        <f t="shared" ref="BF22:BF35" si="52">BE22+BD22</f>
        <v>0</v>
      </c>
      <c r="BG22" s="70"/>
      <c r="BH22" s="70">
        <v>446295</v>
      </c>
      <c r="BI22" s="70">
        <f t="shared" ref="BI22:BI35" si="53">BH22+BG22</f>
        <v>446295</v>
      </c>
      <c r="BJ22" s="70">
        <v>211592</v>
      </c>
      <c r="BK22" s="70">
        <v>2523485</v>
      </c>
      <c r="BL22" s="70">
        <f t="shared" ref="BL22:BL35" si="54">BK22+BJ22</f>
        <v>2735077</v>
      </c>
      <c r="BM22" s="70">
        <v>6485308</v>
      </c>
      <c r="BN22" s="70">
        <v>13033927</v>
      </c>
      <c r="BO22" s="70">
        <f t="shared" ref="BO22:BO35" si="55">BN22+BM22</f>
        <v>19519235</v>
      </c>
      <c r="BP22" s="70"/>
      <c r="BQ22" s="70"/>
      <c r="BR22" s="70">
        <v>2276589</v>
      </c>
      <c r="BS22" s="70">
        <v>144448</v>
      </c>
      <c r="BT22" s="70">
        <v>206385</v>
      </c>
      <c r="BU22" s="70">
        <f t="shared" ref="BU22:BU35" si="56">BT22+BS22</f>
        <v>350833</v>
      </c>
      <c r="BV22" s="70">
        <v>317136</v>
      </c>
      <c r="BW22" s="70">
        <v>1698110</v>
      </c>
      <c r="BX22" s="70">
        <f t="shared" ref="BX22:BX35" si="57">BW22+BV22</f>
        <v>2015246</v>
      </c>
      <c r="BY22" s="70"/>
      <c r="BZ22" s="70"/>
      <c r="CA22" s="70">
        <v>399749</v>
      </c>
      <c r="CB22" s="70"/>
      <c r="CC22" s="70"/>
      <c r="CD22" s="70">
        <f t="shared" ref="CD22:CD35" si="58">CC22+CB22</f>
        <v>0</v>
      </c>
      <c r="CE22" s="70">
        <v>149532</v>
      </c>
      <c r="CF22" s="70">
        <v>903927</v>
      </c>
      <c r="CG22" s="70">
        <f t="shared" ref="CG22:CG35" si="59">CF22+CE22</f>
        <v>1053459</v>
      </c>
      <c r="CH22" s="70"/>
      <c r="CI22" s="70">
        <v>49678</v>
      </c>
      <c r="CJ22" s="70">
        <f t="shared" ref="CJ22:CJ35" si="60">CI22+CH22</f>
        <v>49678</v>
      </c>
      <c r="CK22" s="70"/>
      <c r="CL22" s="70"/>
      <c r="CM22" s="70">
        <f t="shared" ref="CM22:CM35" si="61">CL22+CK22</f>
        <v>0</v>
      </c>
      <c r="CN22" s="70">
        <v>342922</v>
      </c>
      <c r="CO22" s="70">
        <v>1385868</v>
      </c>
      <c r="CP22" s="70">
        <f t="shared" ref="CP22:CP35" si="62">CO22+CN22</f>
        <v>1728790</v>
      </c>
      <c r="CQ22" s="70"/>
      <c r="CR22" s="70"/>
      <c r="CS22" s="70">
        <v>5785565</v>
      </c>
      <c r="CT22" s="70">
        <v>252724</v>
      </c>
      <c r="CU22" s="70">
        <v>467599</v>
      </c>
      <c r="CV22" s="70">
        <f t="shared" ref="CV22:CV35" si="63">CU22+CT22</f>
        <v>720323</v>
      </c>
    </row>
    <row r="23" spans="1:100" ht="15" customHeight="1" x14ac:dyDescent="0.25">
      <c r="A23" s="71" t="s">
        <v>203</v>
      </c>
      <c r="B23" s="70"/>
      <c r="C23" s="70"/>
      <c r="D23" s="70">
        <f t="shared" si="35"/>
        <v>0</v>
      </c>
      <c r="E23" s="70"/>
      <c r="F23" s="70"/>
      <c r="G23" s="70">
        <f t="shared" si="36"/>
        <v>0</v>
      </c>
      <c r="H23" s="70"/>
      <c r="I23" s="70"/>
      <c r="J23" s="70">
        <v>448318</v>
      </c>
      <c r="K23" s="70"/>
      <c r="L23" s="70"/>
      <c r="M23" s="70">
        <f t="shared" si="37"/>
        <v>0</v>
      </c>
      <c r="N23" s="70"/>
      <c r="O23" s="70"/>
      <c r="P23" s="70">
        <f t="shared" si="38"/>
        <v>0</v>
      </c>
      <c r="Q23" s="70"/>
      <c r="R23" s="70"/>
      <c r="S23" s="70">
        <f t="shared" si="39"/>
        <v>0</v>
      </c>
      <c r="T23" s="70"/>
      <c r="U23" s="70"/>
      <c r="V23" s="70">
        <f t="shared" si="40"/>
        <v>0</v>
      </c>
      <c r="W23" s="70"/>
      <c r="X23" s="70"/>
      <c r="Y23" s="70">
        <f t="shared" si="41"/>
        <v>0</v>
      </c>
      <c r="Z23" s="70"/>
      <c r="AA23" s="70"/>
      <c r="AB23" s="70">
        <f t="shared" si="42"/>
        <v>0</v>
      </c>
      <c r="AC23" s="70"/>
      <c r="AD23" s="70">
        <v>5030</v>
      </c>
      <c r="AE23" s="70">
        <f t="shared" si="43"/>
        <v>5030</v>
      </c>
      <c r="AF23" s="70"/>
      <c r="AG23" s="70"/>
      <c r="AH23" s="70">
        <f t="shared" si="44"/>
        <v>0</v>
      </c>
      <c r="AI23" s="70"/>
      <c r="AJ23" s="70"/>
      <c r="AK23" s="70">
        <f t="shared" si="45"/>
        <v>0</v>
      </c>
      <c r="AL23" s="70"/>
      <c r="AM23" s="70"/>
      <c r="AN23" s="70">
        <f t="shared" si="46"/>
        <v>0</v>
      </c>
      <c r="AO23" s="70"/>
      <c r="AP23" s="70"/>
      <c r="AQ23" s="70">
        <f t="shared" si="47"/>
        <v>0</v>
      </c>
      <c r="AR23" s="70">
        <v>1394767</v>
      </c>
      <c r="AS23" s="70">
        <v>4701486</v>
      </c>
      <c r="AT23" s="70">
        <f t="shared" si="48"/>
        <v>6096253</v>
      </c>
      <c r="AU23" s="70">
        <v>1495863</v>
      </c>
      <c r="AV23" s="70">
        <v>5284336</v>
      </c>
      <c r="AW23" s="70">
        <f t="shared" si="49"/>
        <v>6780199</v>
      </c>
      <c r="AX23" s="70"/>
      <c r="AY23" s="70"/>
      <c r="AZ23" s="70">
        <f t="shared" si="50"/>
        <v>0</v>
      </c>
      <c r="BA23" s="70"/>
      <c r="BB23" s="70"/>
      <c r="BC23" s="70">
        <f t="shared" si="51"/>
        <v>0</v>
      </c>
      <c r="BD23" s="70"/>
      <c r="BE23" s="70"/>
      <c r="BF23" s="70">
        <f t="shared" si="52"/>
        <v>0</v>
      </c>
      <c r="BG23" s="70"/>
      <c r="BH23" s="70"/>
      <c r="BI23" s="70">
        <f t="shared" si="53"/>
        <v>0</v>
      </c>
      <c r="BJ23" s="70"/>
      <c r="BK23" s="70"/>
      <c r="BL23" s="70">
        <f t="shared" si="54"/>
        <v>0</v>
      </c>
      <c r="BM23" s="70"/>
      <c r="BN23" s="70"/>
      <c r="BO23" s="70">
        <f t="shared" si="55"/>
        <v>0</v>
      </c>
      <c r="BP23" s="70"/>
      <c r="BQ23" s="70"/>
      <c r="BR23" s="70">
        <f t="shared" ref="BR23:BR35" si="64">BQ23+BP23</f>
        <v>0</v>
      </c>
      <c r="BS23" s="70"/>
      <c r="BT23" s="70"/>
      <c r="BU23" s="70">
        <f t="shared" si="56"/>
        <v>0</v>
      </c>
      <c r="BV23" s="70">
        <v>176710</v>
      </c>
      <c r="BW23" s="70">
        <v>946198</v>
      </c>
      <c r="BX23" s="70">
        <f t="shared" si="57"/>
        <v>1122908</v>
      </c>
      <c r="BY23" s="70"/>
      <c r="BZ23" s="70"/>
      <c r="CA23" s="70">
        <v>16999</v>
      </c>
      <c r="CB23" s="70"/>
      <c r="CC23" s="70"/>
      <c r="CD23" s="70">
        <f t="shared" si="58"/>
        <v>0</v>
      </c>
      <c r="CE23" s="70"/>
      <c r="CF23" s="70">
        <v>442643</v>
      </c>
      <c r="CG23" s="70">
        <f t="shared" si="59"/>
        <v>442643</v>
      </c>
      <c r="CH23" s="70">
        <v>709</v>
      </c>
      <c r="CI23" s="70">
        <v>250000</v>
      </c>
      <c r="CJ23" s="70">
        <f t="shared" si="60"/>
        <v>250709</v>
      </c>
      <c r="CK23" s="70"/>
      <c r="CL23" s="70"/>
      <c r="CM23" s="70">
        <f t="shared" si="61"/>
        <v>0</v>
      </c>
      <c r="CN23" s="70"/>
      <c r="CO23" s="70">
        <f>CO29+CN23</f>
        <v>1321256</v>
      </c>
      <c r="CP23" s="70"/>
      <c r="CQ23" s="70"/>
      <c r="CR23" s="70"/>
      <c r="CS23" s="70">
        <f t="shared" ref="CS23:CS33" si="65">CR23+CQ23</f>
        <v>0</v>
      </c>
      <c r="CT23" s="70"/>
      <c r="CU23" s="70"/>
      <c r="CV23" s="70">
        <f t="shared" si="63"/>
        <v>0</v>
      </c>
    </row>
    <row r="24" spans="1:100" ht="15" customHeight="1" x14ac:dyDescent="0.25">
      <c r="A24" s="71" t="s">
        <v>204</v>
      </c>
      <c r="B24" s="70"/>
      <c r="C24" s="70"/>
      <c r="D24" s="70">
        <f t="shared" si="35"/>
        <v>0</v>
      </c>
      <c r="E24" s="70"/>
      <c r="F24" s="70"/>
      <c r="G24" s="70">
        <f t="shared" si="36"/>
        <v>0</v>
      </c>
      <c r="H24" s="70"/>
      <c r="I24" s="70"/>
      <c r="J24" s="70">
        <f t="shared" ref="J22:J35" si="66">I24+H24</f>
        <v>0</v>
      </c>
      <c r="K24" s="70"/>
      <c r="L24" s="70"/>
      <c r="M24" s="70">
        <f t="shared" si="37"/>
        <v>0</v>
      </c>
      <c r="N24" s="70"/>
      <c r="O24" s="70"/>
      <c r="P24" s="70">
        <f t="shared" si="38"/>
        <v>0</v>
      </c>
      <c r="Q24" s="70"/>
      <c r="R24" s="70"/>
      <c r="S24" s="70">
        <f t="shared" si="39"/>
        <v>0</v>
      </c>
      <c r="T24" s="70"/>
      <c r="U24" s="70"/>
      <c r="V24" s="70">
        <f t="shared" si="40"/>
        <v>0</v>
      </c>
      <c r="W24" s="70"/>
      <c r="X24" s="70"/>
      <c r="Y24" s="70">
        <f t="shared" si="41"/>
        <v>0</v>
      </c>
      <c r="Z24" s="70"/>
      <c r="AA24" s="70"/>
      <c r="AB24" s="70">
        <f t="shared" si="42"/>
        <v>0</v>
      </c>
      <c r="AC24" s="70"/>
      <c r="AD24" s="70"/>
      <c r="AE24" s="70">
        <f t="shared" si="43"/>
        <v>0</v>
      </c>
      <c r="AF24" s="70"/>
      <c r="AG24" s="70"/>
      <c r="AH24" s="70">
        <f t="shared" si="44"/>
        <v>0</v>
      </c>
      <c r="AI24" s="70"/>
      <c r="AJ24" s="70"/>
      <c r="AK24" s="70">
        <f t="shared" si="45"/>
        <v>0</v>
      </c>
      <c r="AL24" s="70"/>
      <c r="AM24" s="70"/>
      <c r="AN24" s="70">
        <f t="shared" si="46"/>
        <v>0</v>
      </c>
      <c r="AO24" s="70"/>
      <c r="AP24" s="70"/>
      <c r="AQ24" s="70">
        <f t="shared" si="47"/>
        <v>0</v>
      </c>
      <c r="AR24" s="70"/>
      <c r="AS24" s="70"/>
      <c r="AT24" s="70">
        <f t="shared" si="48"/>
        <v>0</v>
      </c>
      <c r="AU24" s="70"/>
      <c r="AV24" s="70"/>
      <c r="AW24" s="70">
        <f t="shared" si="49"/>
        <v>0</v>
      </c>
      <c r="AX24" s="70"/>
      <c r="AY24" s="70"/>
      <c r="AZ24" s="70">
        <f t="shared" si="50"/>
        <v>0</v>
      </c>
      <c r="BA24" s="70"/>
      <c r="BB24" s="70"/>
      <c r="BC24" s="70">
        <f t="shared" si="51"/>
        <v>0</v>
      </c>
      <c r="BD24" s="70"/>
      <c r="BE24" s="70"/>
      <c r="BF24" s="70">
        <f t="shared" si="52"/>
        <v>0</v>
      </c>
      <c r="BG24" s="70"/>
      <c r="BH24" s="70"/>
      <c r="BI24" s="70">
        <f t="shared" si="53"/>
        <v>0</v>
      </c>
      <c r="BJ24" s="70"/>
      <c r="BK24" s="70"/>
      <c r="BL24" s="70">
        <f t="shared" si="54"/>
        <v>0</v>
      </c>
      <c r="BM24" s="70"/>
      <c r="BN24" s="70"/>
      <c r="BO24" s="70">
        <f t="shared" si="55"/>
        <v>0</v>
      </c>
      <c r="BP24" s="70"/>
      <c r="BQ24" s="70"/>
      <c r="BR24" s="70">
        <f t="shared" si="64"/>
        <v>0</v>
      </c>
      <c r="BS24" s="70"/>
      <c r="BT24" s="70"/>
      <c r="BU24" s="70">
        <f t="shared" si="56"/>
        <v>0</v>
      </c>
      <c r="BV24" s="70"/>
      <c r="BW24" s="70"/>
      <c r="BX24" s="70">
        <f t="shared" si="57"/>
        <v>0</v>
      </c>
      <c r="BY24" s="70"/>
      <c r="BZ24" s="70"/>
      <c r="CA24" s="70">
        <f t="shared" ref="CA24:CA33" si="67">BZ24+BY24</f>
        <v>0</v>
      </c>
      <c r="CB24" s="70"/>
      <c r="CC24" s="70"/>
      <c r="CD24" s="70">
        <f t="shared" si="58"/>
        <v>0</v>
      </c>
      <c r="CE24" s="70"/>
      <c r="CF24" s="70"/>
      <c r="CG24" s="70">
        <f t="shared" si="59"/>
        <v>0</v>
      </c>
      <c r="CH24" s="70"/>
      <c r="CI24" s="70"/>
      <c r="CJ24" s="70">
        <f t="shared" si="60"/>
        <v>0</v>
      </c>
      <c r="CK24" s="70"/>
      <c r="CL24" s="70"/>
      <c r="CM24" s="70">
        <f t="shared" si="61"/>
        <v>0</v>
      </c>
      <c r="CN24" s="70"/>
      <c r="CO24" s="70"/>
      <c r="CP24" s="70">
        <f t="shared" si="62"/>
        <v>0</v>
      </c>
      <c r="CQ24" s="70"/>
      <c r="CR24" s="70"/>
      <c r="CS24" s="70">
        <f t="shared" si="65"/>
        <v>0</v>
      </c>
      <c r="CT24" s="70"/>
      <c r="CU24" s="70"/>
      <c r="CV24" s="70">
        <f t="shared" si="63"/>
        <v>0</v>
      </c>
    </row>
    <row r="25" spans="1:100" ht="15" customHeight="1" x14ac:dyDescent="0.25">
      <c r="A25" s="71" t="s">
        <v>205</v>
      </c>
      <c r="B25" s="70"/>
      <c r="C25" s="70"/>
      <c r="D25" s="70">
        <f t="shared" si="35"/>
        <v>0</v>
      </c>
      <c r="E25" s="70"/>
      <c r="F25" s="70"/>
      <c r="G25" s="70">
        <f t="shared" si="36"/>
        <v>0</v>
      </c>
      <c r="H25" s="70"/>
      <c r="I25" s="70"/>
      <c r="J25" s="70">
        <f t="shared" si="66"/>
        <v>0</v>
      </c>
      <c r="K25" s="70"/>
      <c r="L25" s="70"/>
      <c r="M25" s="70">
        <f t="shared" si="37"/>
        <v>0</v>
      </c>
      <c r="N25" s="70"/>
      <c r="O25" s="70"/>
      <c r="P25" s="70">
        <f t="shared" si="38"/>
        <v>0</v>
      </c>
      <c r="Q25" s="70"/>
      <c r="R25" s="70"/>
      <c r="S25" s="70">
        <f t="shared" si="39"/>
        <v>0</v>
      </c>
      <c r="T25" s="70"/>
      <c r="U25" s="70"/>
      <c r="V25" s="70">
        <f t="shared" si="40"/>
        <v>0</v>
      </c>
      <c r="W25" s="70"/>
      <c r="X25" s="70"/>
      <c r="Y25" s="70">
        <f t="shared" si="41"/>
        <v>0</v>
      </c>
      <c r="Z25" s="70"/>
      <c r="AA25" s="70"/>
      <c r="AB25" s="70">
        <f t="shared" si="42"/>
        <v>0</v>
      </c>
      <c r="AC25" s="70"/>
      <c r="AD25" s="70"/>
      <c r="AE25" s="70">
        <f t="shared" si="43"/>
        <v>0</v>
      </c>
      <c r="AF25" s="70"/>
      <c r="AG25" s="70"/>
      <c r="AH25" s="70">
        <f t="shared" si="44"/>
        <v>0</v>
      </c>
      <c r="AI25" s="70"/>
      <c r="AJ25" s="70"/>
      <c r="AK25" s="70">
        <f t="shared" si="45"/>
        <v>0</v>
      </c>
      <c r="AL25" s="70"/>
      <c r="AM25" s="70"/>
      <c r="AN25" s="70">
        <f t="shared" si="46"/>
        <v>0</v>
      </c>
      <c r="AO25" s="70"/>
      <c r="AP25" s="70"/>
      <c r="AQ25" s="70">
        <f t="shared" si="47"/>
        <v>0</v>
      </c>
      <c r="AR25" s="70"/>
      <c r="AS25" s="70"/>
      <c r="AT25" s="70">
        <f t="shared" si="48"/>
        <v>0</v>
      </c>
      <c r="AU25" s="70"/>
      <c r="AV25" s="70"/>
      <c r="AW25" s="70">
        <f t="shared" si="49"/>
        <v>0</v>
      </c>
      <c r="AX25" s="70"/>
      <c r="AY25" s="70"/>
      <c r="AZ25" s="70">
        <f t="shared" si="50"/>
        <v>0</v>
      </c>
      <c r="BA25" s="70"/>
      <c r="BB25" s="70"/>
      <c r="BC25" s="70">
        <f t="shared" si="51"/>
        <v>0</v>
      </c>
      <c r="BD25" s="70"/>
      <c r="BE25" s="70"/>
      <c r="BF25" s="70">
        <f t="shared" si="52"/>
        <v>0</v>
      </c>
      <c r="BG25" s="70"/>
      <c r="BH25" s="70"/>
      <c r="BI25" s="70">
        <f t="shared" si="53"/>
        <v>0</v>
      </c>
      <c r="BJ25" s="70"/>
      <c r="BK25" s="70"/>
      <c r="BL25" s="70">
        <f t="shared" si="54"/>
        <v>0</v>
      </c>
      <c r="BM25" s="70"/>
      <c r="BN25" s="70"/>
      <c r="BO25" s="70">
        <f t="shared" si="55"/>
        <v>0</v>
      </c>
      <c r="BP25" s="70"/>
      <c r="BQ25" s="70"/>
      <c r="BR25" s="70">
        <f t="shared" si="64"/>
        <v>0</v>
      </c>
      <c r="BS25" s="70"/>
      <c r="BT25" s="70"/>
      <c r="BU25" s="70">
        <f t="shared" si="56"/>
        <v>0</v>
      </c>
      <c r="BV25" s="70"/>
      <c r="BW25" s="70"/>
      <c r="BX25" s="70">
        <f t="shared" si="57"/>
        <v>0</v>
      </c>
      <c r="BY25" s="70"/>
      <c r="BZ25" s="70"/>
      <c r="CA25" s="70">
        <f t="shared" si="67"/>
        <v>0</v>
      </c>
      <c r="CB25" s="70"/>
      <c r="CC25" s="70"/>
      <c r="CD25" s="70">
        <f t="shared" si="58"/>
        <v>0</v>
      </c>
      <c r="CE25" s="70"/>
      <c r="CF25" s="70"/>
      <c r="CG25" s="70">
        <f t="shared" si="59"/>
        <v>0</v>
      </c>
      <c r="CH25" s="70"/>
      <c r="CI25" s="70"/>
      <c r="CJ25" s="70">
        <f t="shared" si="60"/>
        <v>0</v>
      </c>
      <c r="CK25" s="70"/>
      <c r="CL25" s="70"/>
      <c r="CM25" s="70">
        <f t="shared" si="61"/>
        <v>0</v>
      </c>
      <c r="CN25" s="70"/>
      <c r="CO25" s="70"/>
      <c r="CP25" s="70">
        <f t="shared" si="62"/>
        <v>0</v>
      </c>
      <c r="CQ25" s="70"/>
      <c r="CR25" s="70"/>
      <c r="CS25" s="70">
        <f t="shared" si="65"/>
        <v>0</v>
      </c>
      <c r="CT25" s="70"/>
      <c r="CU25" s="70"/>
      <c r="CV25" s="70">
        <f t="shared" si="63"/>
        <v>0</v>
      </c>
    </row>
    <row r="26" spans="1:100" ht="15" customHeight="1" x14ac:dyDescent="0.25">
      <c r="A26" s="71" t="s">
        <v>206</v>
      </c>
      <c r="B26" s="70"/>
      <c r="C26" s="70"/>
      <c r="D26" s="70">
        <f t="shared" si="35"/>
        <v>0</v>
      </c>
      <c r="E26" s="70"/>
      <c r="F26" s="70"/>
      <c r="G26" s="70">
        <f t="shared" si="36"/>
        <v>0</v>
      </c>
      <c r="H26" s="70"/>
      <c r="I26" s="70"/>
      <c r="J26" s="70">
        <f t="shared" si="66"/>
        <v>0</v>
      </c>
      <c r="K26" s="70"/>
      <c r="L26" s="70"/>
      <c r="M26" s="70">
        <f t="shared" si="37"/>
        <v>0</v>
      </c>
      <c r="N26" s="70"/>
      <c r="O26" s="70"/>
      <c r="P26" s="70">
        <f t="shared" si="38"/>
        <v>0</v>
      </c>
      <c r="Q26" s="70"/>
      <c r="R26" s="70"/>
      <c r="S26" s="70">
        <f t="shared" si="39"/>
        <v>0</v>
      </c>
      <c r="T26" s="70"/>
      <c r="U26" s="70"/>
      <c r="V26" s="70">
        <f t="shared" si="40"/>
        <v>0</v>
      </c>
      <c r="W26" s="70"/>
      <c r="X26" s="70"/>
      <c r="Y26" s="70">
        <f t="shared" si="41"/>
        <v>0</v>
      </c>
      <c r="Z26" s="70"/>
      <c r="AA26" s="70"/>
      <c r="AB26" s="70">
        <f t="shared" si="42"/>
        <v>0</v>
      </c>
      <c r="AC26" s="70">
        <v>104370</v>
      </c>
      <c r="AD26" s="70"/>
      <c r="AE26" s="70">
        <f t="shared" si="43"/>
        <v>104370</v>
      </c>
      <c r="AF26" s="70"/>
      <c r="AG26" s="70"/>
      <c r="AH26" s="70">
        <f t="shared" si="44"/>
        <v>0</v>
      </c>
      <c r="AI26" s="70"/>
      <c r="AJ26" s="70"/>
      <c r="AK26" s="70">
        <f t="shared" si="45"/>
        <v>0</v>
      </c>
      <c r="AL26" s="70"/>
      <c r="AM26" s="70"/>
      <c r="AN26" s="70">
        <f t="shared" si="46"/>
        <v>0</v>
      </c>
      <c r="AO26" s="70"/>
      <c r="AP26" s="70"/>
      <c r="AQ26" s="70">
        <f t="shared" si="47"/>
        <v>0</v>
      </c>
      <c r="AR26" s="70"/>
      <c r="AS26" s="70"/>
      <c r="AT26" s="70">
        <f t="shared" si="48"/>
        <v>0</v>
      </c>
      <c r="AU26" s="70"/>
      <c r="AV26" s="70"/>
      <c r="AW26" s="70">
        <f t="shared" si="49"/>
        <v>0</v>
      </c>
      <c r="AX26" s="70"/>
      <c r="AY26" s="70"/>
      <c r="AZ26" s="70">
        <f t="shared" si="50"/>
        <v>0</v>
      </c>
      <c r="BA26" s="70"/>
      <c r="BB26" s="70"/>
      <c r="BC26" s="70">
        <f t="shared" si="51"/>
        <v>0</v>
      </c>
      <c r="BD26" s="70"/>
      <c r="BE26" s="70"/>
      <c r="BF26" s="70">
        <f t="shared" si="52"/>
        <v>0</v>
      </c>
      <c r="BG26" s="70"/>
      <c r="BH26" s="70"/>
      <c r="BI26" s="70">
        <f t="shared" si="53"/>
        <v>0</v>
      </c>
      <c r="BJ26" s="70"/>
      <c r="BK26" s="70"/>
      <c r="BL26" s="70">
        <f t="shared" si="54"/>
        <v>0</v>
      </c>
      <c r="BM26" s="70"/>
      <c r="BN26" s="70"/>
      <c r="BO26" s="70">
        <f t="shared" si="55"/>
        <v>0</v>
      </c>
      <c r="BP26" s="70"/>
      <c r="BQ26" s="70"/>
      <c r="BR26" s="70">
        <f t="shared" si="64"/>
        <v>0</v>
      </c>
      <c r="BS26" s="70"/>
      <c r="BT26" s="70"/>
      <c r="BU26" s="70">
        <f t="shared" si="56"/>
        <v>0</v>
      </c>
      <c r="BV26" s="70">
        <v>223704</v>
      </c>
      <c r="BW26" s="70">
        <v>1197826</v>
      </c>
      <c r="BX26" s="70">
        <f t="shared" si="57"/>
        <v>1421530</v>
      </c>
      <c r="BY26" s="70"/>
      <c r="BZ26" s="70"/>
      <c r="CA26" s="70">
        <f t="shared" si="67"/>
        <v>0</v>
      </c>
      <c r="CB26" s="70">
        <v>588572</v>
      </c>
      <c r="CC26" s="70">
        <v>2380121</v>
      </c>
      <c r="CD26" s="70">
        <f t="shared" si="58"/>
        <v>2968693</v>
      </c>
      <c r="CE26" s="70"/>
      <c r="CF26" s="70"/>
      <c r="CG26" s="70">
        <f t="shared" si="59"/>
        <v>0</v>
      </c>
      <c r="CH26" s="70"/>
      <c r="CI26" s="70"/>
      <c r="CJ26" s="70">
        <f t="shared" si="60"/>
        <v>0</v>
      </c>
      <c r="CK26" s="70"/>
      <c r="CL26" s="70"/>
      <c r="CM26" s="70">
        <f t="shared" si="61"/>
        <v>0</v>
      </c>
      <c r="CN26" s="70"/>
      <c r="CO26" s="70"/>
      <c r="CP26" s="70">
        <f t="shared" si="62"/>
        <v>0</v>
      </c>
      <c r="CQ26" s="70"/>
      <c r="CR26" s="70"/>
      <c r="CS26" s="70">
        <f t="shared" si="65"/>
        <v>0</v>
      </c>
      <c r="CT26" s="70">
        <v>98340</v>
      </c>
      <c r="CU26" s="70">
        <v>181953</v>
      </c>
      <c r="CV26" s="70">
        <f t="shared" si="63"/>
        <v>280293</v>
      </c>
    </row>
    <row r="27" spans="1:100" ht="15" customHeight="1" x14ac:dyDescent="0.25">
      <c r="A27" s="71" t="s">
        <v>207</v>
      </c>
      <c r="B27" s="70"/>
      <c r="C27" s="70"/>
      <c r="D27" s="70">
        <f t="shared" si="35"/>
        <v>0</v>
      </c>
      <c r="E27" s="70"/>
      <c r="F27" s="70"/>
      <c r="G27" s="70">
        <f t="shared" si="36"/>
        <v>0</v>
      </c>
      <c r="H27" s="70"/>
      <c r="I27" s="70"/>
      <c r="J27" s="70">
        <f t="shared" si="66"/>
        <v>0</v>
      </c>
      <c r="K27" s="70"/>
      <c r="L27" s="70"/>
      <c r="M27" s="70">
        <f t="shared" si="37"/>
        <v>0</v>
      </c>
      <c r="N27" s="70"/>
      <c r="O27" s="70">
        <v>752500</v>
      </c>
      <c r="P27" s="70">
        <f t="shared" si="38"/>
        <v>752500</v>
      </c>
      <c r="Q27" s="70"/>
      <c r="R27" s="70"/>
      <c r="S27" s="70">
        <f t="shared" si="39"/>
        <v>0</v>
      </c>
      <c r="T27" s="70"/>
      <c r="U27" s="70"/>
      <c r="V27" s="70">
        <f t="shared" si="40"/>
        <v>0</v>
      </c>
      <c r="W27" s="70"/>
      <c r="X27" s="70"/>
      <c r="Y27" s="70">
        <f t="shared" si="41"/>
        <v>0</v>
      </c>
      <c r="Z27" s="70"/>
      <c r="AA27" s="70"/>
      <c r="AB27" s="70">
        <f t="shared" si="42"/>
        <v>0</v>
      </c>
      <c r="AC27" s="70">
        <v>46420</v>
      </c>
      <c r="AD27" s="70"/>
      <c r="AE27" s="70">
        <f t="shared" si="43"/>
        <v>46420</v>
      </c>
      <c r="AF27" s="70"/>
      <c r="AG27" s="70"/>
      <c r="AH27" s="70">
        <f t="shared" si="44"/>
        <v>0</v>
      </c>
      <c r="AI27" s="70"/>
      <c r="AJ27" s="70"/>
      <c r="AK27" s="70">
        <f t="shared" si="45"/>
        <v>0</v>
      </c>
      <c r="AL27" s="70"/>
      <c r="AM27" s="70"/>
      <c r="AN27" s="70">
        <f t="shared" si="46"/>
        <v>0</v>
      </c>
      <c r="AO27" s="70"/>
      <c r="AP27" s="70"/>
      <c r="AQ27" s="70">
        <f t="shared" si="47"/>
        <v>0</v>
      </c>
      <c r="AR27" s="70"/>
      <c r="AS27" s="70"/>
      <c r="AT27" s="70">
        <f t="shared" si="48"/>
        <v>0</v>
      </c>
      <c r="AU27" s="70"/>
      <c r="AV27" s="70"/>
      <c r="AW27" s="70">
        <f t="shared" si="49"/>
        <v>0</v>
      </c>
      <c r="AX27" s="70"/>
      <c r="AY27" s="70"/>
      <c r="AZ27" s="70">
        <f t="shared" si="50"/>
        <v>0</v>
      </c>
      <c r="BA27" s="70"/>
      <c r="BB27" s="70"/>
      <c r="BC27" s="70">
        <f t="shared" si="51"/>
        <v>0</v>
      </c>
      <c r="BD27" s="70">
        <v>2356</v>
      </c>
      <c r="BE27" s="70">
        <v>16072</v>
      </c>
      <c r="BF27" s="70">
        <f t="shared" si="52"/>
        <v>18428</v>
      </c>
      <c r="BG27" s="70"/>
      <c r="BH27" s="70"/>
      <c r="BI27" s="70">
        <f t="shared" si="53"/>
        <v>0</v>
      </c>
      <c r="BJ27" s="70"/>
      <c r="BK27" s="70"/>
      <c r="BL27" s="70">
        <f t="shared" si="54"/>
        <v>0</v>
      </c>
      <c r="BM27" s="70"/>
      <c r="BN27" s="70"/>
      <c r="BO27" s="70">
        <f t="shared" si="55"/>
        <v>0</v>
      </c>
      <c r="BP27" s="70"/>
      <c r="BQ27" s="70"/>
      <c r="BR27" s="70">
        <v>1326</v>
      </c>
      <c r="BS27" s="70"/>
      <c r="BT27" s="70"/>
      <c r="BU27" s="70">
        <f t="shared" si="56"/>
        <v>0</v>
      </c>
      <c r="BV27" s="70"/>
      <c r="BW27" s="70"/>
      <c r="BX27" s="70">
        <f t="shared" si="57"/>
        <v>0</v>
      </c>
      <c r="BY27" s="70"/>
      <c r="BZ27" s="70"/>
      <c r="CA27" s="70">
        <f t="shared" si="67"/>
        <v>0</v>
      </c>
      <c r="CB27" s="70"/>
      <c r="CC27" s="70"/>
      <c r="CD27" s="70">
        <f t="shared" si="58"/>
        <v>0</v>
      </c>
      <c r="CE27" s="70"/>
      <c r="CF27" s="70"/>
      <c r="CG27" s="70">
        <f t="shared" si="59"/>
        <v>0</v>
      </c>
      <c r="CH27" s="70"/>
      <c r="CI27" s="70"/>
      <c r="CJ27" s="70">
        <f t="shared" si="60"/>
        <v>0</v>
      </c>
      <c r="CK27" s="70"/>
      <c r="CL27" s="70"/>
      <c r="CM27" s="70">
        <f t="shared" si="61"/>
        <v>0</v>
      </c>
      <c r="CN27" s="70"/>
      <c r="CO27" s="70"/>
      <c r="CP27" s="70">
        <f t="shared" si="62"/>
        <v>0</v>
      </c>
      <c r="CQ27" s="70"/>
      <c r="CR27" s="70"/>
      <c r="CS27" s="70">
        <f t="shared" si="65"/>
        <v>0</v>
      </c>
      <c r="CT27" s="70"/>
      <c r="CU27" s="70"/>
      <c r="CV27" s="70">
        <f t="shared" si="63"/>
        <v>0</v>
      </c>
    </row>
    <row r="28" spans="1:100" ht="15" customHeight="1" x14ac:dyDescent="0.25">
      <c r="A28" s="71" t="s">
        <v>208</v>
      </c>
      <c r="B28" s="70">
        <v>57768</v>
      </c>
      <c r="C28" s="70">
        <v>47341</v>
      </c>
      <c r="D28" s="70">
        <f t="shared" si="35"/>
        <v>105109</v>
      </c>
      <c r="E28" s="70"/>
      <c r="F28" s="70">
        <v>290314</v>
      </c>
      <c r="G28" s="70">
        <f t="shared" si="36"/>
        <v>290314</v>
      </c>
      <c r="H28" s="70"/>
      <c r="I28" s="70"/>
      <c r="J28" s="70">
        <v>5446440</v>
      </c>
      <c r="K28" s="70"/>
      <c r="L28" s="70">
        <v>402274</v>
      </c>
      <c r="M28" s="70">
        <f t="shared" si="37"/>
        <v>402274</v>
      </c>
      <c r="N28" s="70"/>
      <c r="O28" s="70"/>
      <c r="P28" s="70">
        <f t="shared" si="38"/>
        <v>0</v>
      </c>
      <c r="Q28" s="70">
        <v>25112</v>
      </c>
      <c r="R28" s="70">
        <v>147951</v>
      </c>
      <c r="S28" s="70">
        <f t="shared" si="39"/>
        <v>173063</v>
      </c>
      <c r="T28" s="70">
        <v>57875</v>
      </c>
      <c r="U28" s="70">
        <v>604989</v>
      </c>
      <c r="V28" s="70">
        <f t="shared" si="40"/>
        <v>662864</v>
      </c>
      <c r="W28" s="70">
        <v>14132</v>
      </c>
      <c r="X28" s="70">
        <v>169900</v>
      </c>
      <c r="Y28" s="70">
        <f t="shared" si="41"/>
        <v>184032</v>
      </c>
      <c r="Z28" s="70">
        <v>9205</v>
      </c>
      <c r="AA28" s="70">
        <v>211691</v>
      </c>
      <c r="AB28" s="70">
        <f t="shared" si="42"/>
        <v>220896</v>
      </c>
      <c r="AC28" s="70">
        <v>64831</v>
      </c>
      <c r="AD28" s="70"/>
      <c r="AE28" s="70">
        <f t="shared" si="43"/>
        <v>64831</v>
      </c>
      <c r="AF28" s="70">
        <v>2339960.31</v>
      </c>
      <c r="AG28" s="70">
        <v>3367259.95</v>
      </c>
      <c r="AH28" s="70">
        <f t="shared" si="44"/>
        <v>5707220.2599999998</v>
      </c>
      <c r="AI28" s="70">
        <v>16381</v>
      </c>
      <c r="AJ28" s="70">
        <v>87052</v>
      </c>
      <c r="AK28" s="70">
        <f t="shared" si="45"/>
        <v>103433</v>
      </c>
      <c r="AL28" s="70"/>
      <c r="AM28" s="70"/>
      <c r="AN28" s="70">
        <f t="shared" si="46"/>
        <v>0</v>
      </c>
      <c r="AO28" s="70">
        <v>342440</v>
      </c>
      <c r="AP28" s="70">
        <v>1358946</v>
      </c>
      <c r="AQ28" s="70">
        <f t="shared" si="47"/>
        <v>1701386</v>
      </c>
      <c r="AR28" s="70">
        <v>1700560</v>
      </c>
      <c r="AS28" s="70">
        <v>4447916</v>
      </c>
      <c r="AT28" s="70">
        <f t="shared" si="48"/>
        <v>6148476</v>
      </c>
      <c r="AU28" s="70">
        <v>230281</v>
      </c>
      <c r="AV28" s="70">
        <v>813499</v>
      </c>
      <c r="AW28" s="70">
        <f t="shared" si="49"/>
        <v>1043780</v>
      </c>
      <c r="AX28" s="70">
        <v>10700</v>
      </c>
      <c r="AY28" s="70">
        <v>26168</v>
      </c>
      <c r="AZ28" s="70">
        <f t="shared" si="50"/>
        <v>36868</v>
      </c>
      <c r="BA28" s="70">
        <v>104277</v>
      </c>
      <c r="BB28" s="70">
        <v>351746</v>
      </c>
      <c r="BC28" s="70">
        <f t="shared" si="51"/>
        <v>456023</v>
      </c>
      <c r="BD28" s="70">
        <v>83595</v>
      </c>
      <c r="BE28" s="70">
        <v>570396</v>
      </c>
      <c r="BF28" s="70">
        <f t="shared" si="52"/>
        <v>653991</v>
      </c>
      <c r="BG28" s="70">
        <v>123987</v>
      </c>
      <c r="BH28" s="70">
        <v>423244</v>
      </c>
      <c r="BI28" s="70">
        <f>BH28+BG28</f>
        <v>547231</v>
      </c>
      <c r="BJ28" s="70">
        <v>376942</v>
      </c>
      <c r="BK28" s="70">
        <v>4495494</v>
      </c>
      <c r="BL28" s="70">
        <f t="shared" si="54"/>
        <v>4872436</v>
      </c>
      <c r="BM28" s="70">
        <v>899027</v>
      </c>
      <c r="BN28" s="70">
        <v>1806830</v>
      </c>
      <c r="BO28" s="70">
        <f t="shared" si="55"/>
        <v>2705857</v>
      </c>
      <c r="BP28" s="70"/>
      <c r="BQ28" s="70"/>
      <c r="BR28" s="70">
        <v>5909602</v>
      </c>
      <c r="BS28" s="70">
        <v>89805</v>
      </c>
      <c r="BT28" s="70">
        <v>128312</v>
      </c>
      <c r="BU28" s="70">
        <f t="shared" si="56"/>
        <v>218117</v>
      </c>
      <c r="BV28" s="70">
        <v>603315</v>
      </c>
      <c r="BW28" s="70">
        <v>3230463</v>
      </c>
      <c r="BX28" s="70">
        <f t="shared" si="57"/>
        <v>3833778</v>
      </c>
      <c r="BY28" s="70"/>
      <c r="BZ28" s="70"/>
      <c r="CA28" s="70">
        <v>672161</v>
      </c>
      <c r="CB28" s="70">
        <v>63756</v>
      </c>
      <c r="CC28" s="70">
        <v>257823</v>
      </c>
      <c r="CD28" s="70">
        <f t="shared" si="58"/>
        <v>321579</v>
      </c>
      <c r="CE28" s="70"/>
      <c r="CF28" s="70">
        <v>3564617</v>
      </c>
      <c r="CG28" s="70">
        <f t="shared" si="59"/>
        <v>3564617</v>
      </c>
      <c r="CH28" s="70"/>
      <c r="CI28" s="70">
        <v>1021739</v>
      </c>
      <c r="CJ28" s="70">
        <f t="shared" si="60"/>
        <v>1021739</v>
      </c>
      <c r="CK28" s="70">
        <v>460806</v>
      </c>
      <c r="CL28" s="70">
        <v>669313</v>
      </c>
      <c r="CM28" s="70">
        <f t="shared" si="61"/>
        <v>1130119</v>
      </c>
      <c r="CN28" s="70"/>
      <c r="CO28" s="70"/>
      <c r="CP28" s="70">
        <f t="shared" si="62"/>
        <v>0</v>
      </c>
      <c r="CQ28" s="70"/>
      <c r="CR28" s="70"/>
      <c r="CS28" s="70">
        <v>9920131</v>
      </c>
      <c r="CT28" s="70"/>
      <c r="CU28" s="70"/>
      <c r="CV28" s="70">
        <f t="shared" si="63"/>
        <v>0</v>
      </c>
    </row>
    <row r="29" spans="1:100" ht="15" customHeight="1" x14ac:dyDescent="0.25">
      <c r="A29" s="71" t="s">
        <v>209</v>
      </c>
      <c r="B29" s="70">
        <v>54824</v>
      </c>
      <c r="C29" s="70">
        <v>44928</v>
      </c>
      <c r="D29" s="70">
        <f t="shared" si="35"/>
        <v>99752</v>
      </c>
      <c r="E29" s="70">
        <v>49703</v>
      </c>
      <c r="F29" s="70">
        <v>199673</v>
      </c>
      <c r="G29" s="70">
        <f t="shared" si="36"/>
        <v>249376</v>
      </c>
      <c r="H29" s="70"/>
      <c r="I29" s="70"/>
      <c r="J29" s="70">
        <v>6000493</v>
      </c>
      <c r="K29" s="70"/>
      <c r="L29" s="70">
        <v>700206</v>
      </c>
      <c r="M29" s="70">
        <f t="shared" si="37"/>
        <v>700206</v>
      </c>
      <c r="N29" s="70">
        <v>108029</v>
      </c>
      <c r="O29" s="70">
        <v>3927202</v>
      </c>
      <c r="P29" s="70">
        <f t="shared" si="38"/>
        <v>4035231</v>
      </c>
      <c r="Q29" s="70">
        <v>211239</v>
      </c>
      <c r="R29" s="70">
        <v>1244577</v>
      </c>
      <c r="S29" s="70">
        <f t="shared" si="39"/>
        <v>1455816</v>
      </c>
      <c r="T29" s="70">
        <v>496070</v>
      </c>
      <c r="U29" s="70">
        <v>5185603</v>
      </c>
      <c r="V29" s="70">
        <f t="shared" si="40"/>
        <v>5681673</v>
      </c>
      <c r="W29" s="70">
        <v>199810</v>
      </c>
      <c r="X29" s="70">
        <v>399222</v>
      </c>
      <c r="Y29" s="70">
        <f t="shared" si="41"/>
        <v>599032</v>
      </c>
      <c r="Z29" s="70"/>
      <c r="AA29" s="70">
        <v>99616</v>
      </c>
      <c r="AB29" s="70">
        <f t="shared" si="42"/>
        <v>99616</v>
      </c>
      <c r="AC29" s="70">
        <v>134159</v>
      </c>
      <c r="AD29" s="70"/>
      <c r="AE29" s="70">
        <f t="shared" si="43"/>
        <v>134159</v>
      </c>
      <c r="AF29" s="70">
        <f>1289744.8+258537.89</f>
        <v>1548282.69</v>
      </c>
      <c r="AG29" s="70">
        <f>1855974.23+372042.33</f>
        <v>2228016.56</v>
      </c>
      <c r="AH29" s="70">
        <f t="shared" si="44"/>
        <v>3776299.25</v>
      </c>
      <c r="AI29" s="70">
        <v>171131</v>
      </c>
      <c r="AJ29" s="70">
        <v>909431</v>
      </c>
      <c r="AK29" s="70">
        <f t="shared" si="45"/>
        <v>1080562</v>
      </c>
      <c r="AL29" s="70"/>
      <c r="AM29" s="70">
        <v>199004</v>
      </c>
      <c r="AN29" s="70">
        <f t="shared" si="46"/>
        <v>199004</v>
      </c>
      <c r="AO29" s="70">
        <v>461703</v>
      </c>
      <c r="AP29" s="70">
        <v>1832234</v>
      </c>
      <c r="AQ29" s="70">
        <f t="shared" si="47"/>
        <v>2293937</v>
      </c>
      <c r="AR29" s="70">
        <v>411691</v>
      </c>
      <c r="AS29" s="70">
        <v>1387728</v>
      </c>
      <c r="AT29" s="70">
        <f t="shared" si="48"/>
        <v>1799419</v>
      </c>
      <c r="AU29" s="70">
        <v>441496</v>
      </c>
      <c r="AV29" s="70">
        <v>1559641</v>
      </c>
      <c r="AW29" s="70">
        <f t="shared" si="49"/>
        <v>2001137</v>
      </c>
      <c r="AX29" s="70">
        <v>43535</v>
      </c>
      <c r="AY29" s="70">
        <v>106465</v>
      </c>
      <c r="AZ29" s="70">
        <f t="shared" si="50"/>
        <v>150000</v>
      </c>
      <c r="BA29" s="70">
        <v>466227</v>
      </c>
      <c r="BB29" s="70">
        <v>1628249</v>
      </c>
      <c r="BC29" s="70">
        <f t="shared" si="51"/>
        <v>2094476</v>
      </c>
      <c r="BD29" s="70">
        <v>25821</v>
      </c>
      <c r="BE29" s="70">
        <v>176187</v>
      </c>
      <c r="BF29" s="70">
        <f t="shared" si="52"/>
        <v>202008</v>
      </c>
      <c r="BG29" s="70"/>
      <c r="BH29" s="70">
        <v>248760</v>
      </c>
      <c r="BI29" s="70">
        <f t="shared" si="53"/>
        <v>248760</v>
      </c>
      <c r="BJ29" s="70">
        <v>394903</v>
      </c>
      <c r="BK29" s="70">
        <v>4709695</v>
      </c>
      <c r="BL29" s="70">
        <f t="shared" si="54"/>
        <v>5104598</v>
      </c>
      <c r="BM29" s="70">
        <v>2830306</v>
      </c>
      <c r="BN29" s="70">
        <v>5688241</v>
      </c>
      <c r="BO29" s="70">
        <f t="shared" si="55"/>
        <v>8518547</v>
      </c>
      <c r="BP29" s="70"/>
      <c r="BQ29" s="70"/>
      <c r="BR29" s="70">
        <v>4222480</v>
      </c>
      <c r="BS29" s="70">
        <v>205587</v>
      </c>
      <c r="BT29" s="70">
        <v>293741</v>
      </c>
      <c r="BU29" s="70">
        <f t="shared" si="56"/>
        <v>499328</v>
      </c>
      <c r="BV29" s="70">
        <v>1267579</v>
      </c>
      <c r="BW29" s="70">
        <v>6787273</v>
      </c>
      <c r="BX29" s="70">
        <f t="shared" si="57"/>
        <v>8054852</v>
      </c>
      <c r="BY29" s="70"/>
      <c r="BZ29" s="70"/>
      <c r="CA29" s="70">
        <v>1347488</v>
      </c>
      <c r="CB29" s="70">
        <v>951788</v>
      </c>
      <c r="CC29" s="70">
        <v>3848926</v>
      </c>
      <c r="CD29" s="70">
        <f t="shared" si="58"/>
        <v>4800714</v>
      </c>
      <c r="CE29" s="70">
        <v>100000</v>
      </c>
      <c r="CF29" s="70">
        <f>3487188-175712</f>
        <v>3311476</v>
      </c>
      <c r="CG29" s="70">
        <f t="shared" si="59"/>
        <v>3411476</v>
      </c>
      <c r="CH29" s="70"/>
      <c r="CI29" s="70">
        <v>754136</v>
      </c>
      <c r="CJ29" s="70">
        <f t="shared" si="60"/>
        <v>754136</v>
      </c>
      <c r="CK29" s="70">
        <v>57984</v>
      </c>
      <c r="CL29" s="70">
        <v>84221</v>
      </c>
      <c r="CM29" s="70">
        <f t="shared" si="61"/>
        <v>142205</v>
      </c>
      <c r="CN29" s="70">
        <v>326934</v>
      </c>
      <c r="CO29" s="70">
        <v>1321256</v>
      </c>
      <c r="CP29" s="70">
        <f t="shared" si="62"/>
        <v>1648190</v>
      </c>
      <c r="CQ29" s="70"/>
      <c r="CR29" s="70"/>
      <c r="CS29" s="70">
        <v>4707647</v>
      </c>
      <c r="CT29" s="70">
        <v>808323</v>
      </c>
      <c r="CU29" s="70">
        <v>1495588</v>
      </c>
      <c r="CV29" s="70">
        <f t="shared" si="63"/>
        <v>2303911</v>
      </c>
    </row>
    <row r="30" spans="1:100" ht="15" customHeight="1" x14ac:dyDescent="0.25">
      <c r="A30" s="71" t="s">
        <v>221</v>
      </c>
      <c r="B30" s="70"/>
      <c r="C30" s="70"/>
      <c r="D30" s="70">
        <f t="shared" si="35"/>
        <v>0</v>
      </c>
      <c r="E30" s="70"/>
      <c r="F30" s="70"/>
      <c r="G30" s="70">
        <f t="shared" si="36"/>
        <v>0</v>
      </c>
      <c r="H30" s="70"/>
      <c r="I30" s="70"/>
      <c r="J30" s="70">
        <f t="shared" si="66"/>
        <v>0</v>
      </c>
      <c r="K30" s="70"/>
      <c r="L30" s="70"/>
      <c r="M30" s="70">
        <f t="shared" si="37"/>
        <v>0</v>
      </c>
      <c r="N30" s="70"/>
      <c r="O30" s="70"/>
      <c r="P30" s="70">
        <f t="shared" si="38"/>
        <v>0</v>
      </c>
      <c r="Q30" s="70"/>
      <c r="R30" s="70"/>
      <c r="S30" s="70">
        <f t="shared" si="39"/>
        <v>0</v>
      </c>
      <c r="T30" s="70"/>
      <c r="U30" s="70"/>
      <c r="V30" s="70">
        <f t="shared" si="40"/>
        <v>0</v>
      </c>
      <c r="W30" s="70"/>
      <c r="X30" s="70"/>
      <c r="Y30" s="70">
        <f t="shared" si="41"/>
        <v>0</v>
      </c>
      <c r="Z30" s="70"/>
      <c r="AA30" s="70"/>
      <c r="AB30" s="70">
        <f t="shared" si="42"/>
        <v>0</v>
      </c>
      <c r="AC30" s="70"/>
      <c r="AD30" s="70"/>
      <c r="AE30" s="70">
        <f t="shared" si="43"/>
        <v>0</v>
      </c>
      <c r="AF30" s="70"/>
      <c r="AG30" s="70"/>
      <c r="AH30" s="70">
        <f t="shared" si="44"/>
        <v>0</v>
      </c>
      <c r="AI30" s="70"/>
      <c r="AJ30" s="70"/>
      <c r="AK30" s="70">
        <f t="shared" si="45"/>
        <v>0</v>
      </c>
      <c r="AL30" s="70"/>
      <c r="AM30" s="70"/>
      <c r="AN30" s="70">
        <f t="shared" si="46"/>
        <v>0</v>
      </c>
      <c r="AO30" s="70"/>
      <c r="AP30" s="70"/>
      <c r="AQ30" s="70">
        <f t="shared" si="47"/>
        <v>0</v>
      </c>
      <c r="AR30" s="70"/>
      <c r="AS30" s="70"/>
      <c r="AT30" s="70">
        <f t="shared" si="48"/>
        <v>0</v>
      </c>
      <c r="AU30" s="70">
        <f>682072+176550-19856</f>
        <v>838766</v>
      </c>
      <c r="AV30" s="70">
        <f>2409508+623687-70144</f>
        <v>2963051</v>
      </c>
      <c r="AW30" s="70">
        <f t="shared" si="49"/>
        <v>3801817</v>
      </c>
      <c r="AX30" s="70"/>
      <c r="AY30" s="70"/>
      <c r="AZ30" s="70">
        <f t="shared" si="50"/>
        <v>0</v>
      </c>
      <c r="BA30" s="70"/>
      <c r="BB30" s="70"/>
      <c r="BC30" s="70">
        <f t="shared" si="51"/>
        <v>0</v>
      </c>
      <c r="BD30" s="70"/>
      <c r="BE30" s="70"/>
      <c r="BF30" s="70">
        <f t="shared" si="52"/>
        <v>0</v>
      </c>
      <c r="BG30" s="70"/>
      <c r="BH30" s="70"/>
      <c r="BI30" s="70">
        <f t="shared" si="53"/>
        <v>0</v>
      </c>
      <c r="BJ30" s="70"/>
      <c r="BK30" s="70"/>
      <c r="BL30" s="70">
        <f t="shared" si="54"/>
        <v>0</v>
      </c>
      <c r="BM30" s="70"/>
      <c r="BN30" s="70"/>
      <c r="BO30" s="70">
        <f t="shared" si="55"/>
        <v>0</v>
      </c>
      <c r="BP30" s="70"/>
      <c r="BQ30" s="70"/>
      <c r="BR30" s="70">
        <f t="shared" si="64"/>
        <v>0</v>
      </c>
      <c r="BS30" s="70"/>
      <c r="BT30" s="70"/>
      <c r="BU30" s="70">
        <f t="shared" si="56"/>
        <v>0</v>
      </c>
      <c r="BV30" s="70"/>
      <c r="BW30" s="70"/>
      <c r="BX30" s="70">
        <f t="shared" si="57"/>
        <v>0</v>
      </c>
      <c r="BY30" s="70"/>
      <c r="BZ30" s="70"/>
      <c r="CA30" s="70">
        <f t="shared" si="67"/>
        <v>0</v>
      </c>
      <c r="CB30" s="70"/>
      <c r="CC30" s="70"/>
      <c r="CD30" s="70">
        <f t="shared" si="58"/>
        <v>0</v>
      </c>
      <c r="CE30" s="70"/>
      <c r="CF30" s="70"/>
      <c r="CG30" s="70">
        <f t="shared" si="59"/>
        <v>0</v>
      </c>
      <c r="CH30" s="70"/>
      <c r="CI30" s="70"/>
      <c r="CJ30" s="70">
        <f t="shared" si="60"/>
        <v>0</v>
      </c>
      <c r="CK30" s="70"/>
      <c r="CL30" s="70"/>
      <c r="CM30" s="70">
        <f t="shared" si="61"/>
        <v>0</v>
      </c>
      <c r="CN30" s="70"/>
      <c r="CO30" s="70"/>
      <c r="CP30" s="70">
        <f t="shared" si="62"/>
        <v>0</v>
      </c>
      <c r="CQ30" s="70"/>
      <c r="CR30" s="70"/>
      <c r="CS30" s="70">
        <f t="shared" si="65"/>
        <v>0</v>
      </c>
      <c r="CT30" s="70"/>
      <c r="CU30" s="70"/>
      <c r="CV30" s="70">
        <f t="shared" si="63"/>
        <v>0</v>
      </c>
    </row>
    <row r="31" spans="1:100" ht="15" customHeight="1" x14ac:dyDescent="0.25">
      <c r="A31" s="71" t="s">
        <v>222</v>
      </c>
      <c r="B31" s="70">
        <v>14662</v>
      </c>
      <c r="C31" s="70">
        <v>12016</v>
      </c>
      <c r="D31" s="70">
        <f t="shared" si="35"/>
        <v>26678</v>
      </c>
      <c r="E31" s="70"/>
      <c r="F31" s="70"/>
      <c r="G31" s="70">
        <f t="shared" si="36"/>
        <v>0</v>
      </c>
      <c r="H31" s="70"/>
      <c r="I31" s="70"/>
      <c r="J31" s="70">
        <v>6358450</v>
      </c>
      <c r="K31" s="70"/>
      <c r="L31" s="70"/>
      <c r="M31" s="70">
        <f t="shared" si="37"/>
        <v>0</v>
      </c>
      <c r="N31" s="70"/>
      <c r="O31" s="70">
        <v>125007</v>
      </c>
      <c r="P31" s="70">
        <f t="shared" si="38"/>
        <v>125007</v>
      </c>
      <c r="Q31" s="70"/>
      <c r="R31" s="70"/>
      <c r="S31" s="70">
        <f t="shared" si="39"/>
        <v>0</v>
      </c>
      <c r="T31" s="70"/>
      <c r="U31" s="70"/>
      <c r="V31" s="70">
        <f t="shared" si="40"/>
        <v>0</v>
      </c>
      <c r="W31" s="70"/>
      <c r="X31" s="70"/>
      <c r="Y31" s="70">
        <f t="shared" si="41"/>
        <v>0</v>
      </c>
      <c r="Z31" s="70"/>
      <c r="AA31" s="70"/>
      <c r="AB31" s="70">
        <f t="shared" si="42"/>
        <v>0</v>
      </c>
      <c r="AC31" s="70">
        <v>1614</v>
      </c>
      <c r="AD31" s="70"/>
      <c r="AE31" s="70">
        <f t="shared" si="43"/>
        <v>1614</v>
      </c>
      <c r="AF31" s="70"/>
      <c r="AG31" s="70"/>
      <c r="AH31" s="70">
        <f t="shared" si="44"/>
        <v>0</v>
      </c>
      <c r="AI31" s="70">
        <v>144246</v>
      </c>
      <c r="AJ31" s="70">
        <v>766556</v>
      </c>
      <c r="AK31" s="70">
        <f t="shared" si="45"/>
        <v>910802</v>
      </c>
      <c r="AL31" s="70"/>
      <c r="AM31" s="70"/>
      <c r="AN31" s="70">
        <f t="shared" si="46"/>
        <v>0</v>
      </c>
      <c r="AO31" s="70">
        <v>243008</v>
      </c>
      <c r="AP31" s="70">
        <v>964360</v>
      </c>
      <c r="AQ31" s="70">
        <f t="shared" si="47"/>
        <v>1207368</v>
      </c>
      <c r="AR31" s="70">
        <v>34319</v>
      </c>
      <c r="AS31" s="70">
        <v>115681</v>
      </c>
      <c r="AT31" s="70">
        <f t="shared" si="48"/>
        <v>150000</v>
      </c>
      <c r="AU31" s="70">
        <v>163775</v>
      </c>
      <c r="AV31" s="70">
        <v>578556</v>
      </c>
      <c r="AW31" s="70">
        <f t="shared" si="49"/>
        <v>742331</v>
      </c>
      <c r="AX31" s="70"/>
      <c r="AY31" s="70"/>
      <c r="AZ31" s="70">
        <f t="shared" si="50"/>
        <v>0</v>
      </c>
      <c r="BA31" s="70">
        <v>37824</v>
      </c>
      <c r="BB31" s="70">
        <v>132095</v>
      </c>
      <c r="BC31" s="70">
        <f t="shared" si="51"/>
        <v>169919</v>
      </c>
      <c r="BD31" s="70">
        <v>2556</v>
      </c>
      <c r="BE31" s="70">
        <v>17444</v>
      </c>
      <c r="BF31" s="70">
        <f t="shared" si="52"/>
        <v>20000</v>
      </c>
      <c r="BG31" s="70"/>
      <c r="BH31" s="70"/>
      <c r="BI31" s="70">
        <f t="shared" si="53"/>
        <v>0</v>
      </c>
      <c r="BJ31" s="70">
        <v>367470</v>
      </c>
      <c r="BK31" s="70">
        <v>4382530</v>
      </c>
      <c r="BL31" s="70">
        <f t="shared" si="54"/>
        <v>4750000</v>
      </c>
      <c r="BM31" s="70"/>
      <c r="BN31" s="70">
        <v>503710</v>
      </c>
      <c r="BO31" s="70">
        <f t="shared" si="55"/>
        <v>503710</v>
      </c>
      <c r="BP31" s="70"/>
      <c r="BQ31" s="70"/>
      <c r="BR31" s="70">
        <f t="shared" si="64"/>
        <v>0</v>
      </c>
      <c r="BS31" s="70"/>
      <c r="BT31" s="70"/>
      <c r="BU31" s="70">
        <f t="shared" si="56"/>
        <v>0</v>
      </c>
      <c r="BV31" s="70">
        <v>15735</v>
      </c>
      <c r="BW31" s="70">
        <v>84255</v>
      </c>
      <c r="BX31" s="70">
        <f t="shared" si="57"/>
        <v>99990</v>
      </c>
      <c r="BY31" s="70"/>
      <c r="BZ31" s="70"/>
      <c r="CA31" s="70">
        <f t="shared" si="67"/>
        <v>0</v>
      </c>
      <c r="CB31" s="70">
        <v>98222</v>
      </c>
      <c r="CC31" s="70">
        <v>397200</v>
      </c>
      <c r="CD31" s="70">
        <f t="shared" si="58"/>
        <v>495422</v>
      </c>
      <c r="CE31" s="70">
        <v>10000</v>
      </c>
      <c r="CF31" s="70">
        <f>31100+385064</f>
        <v>416164</v>
      </c>
      <c r="CG31" s="70">
        <f t="shared" si="59"/>
        <v>426164</v>
      </c>
      <c r="CH31" s="70">
        <v>649320</v>
      </c>
      <c r="CI31" s="70"/>
      <c r="CJ31" s="70">
        <f t="shared" si="60"/>
        <v>649320</v>
      </c>
      <c r="CK31" s="70"/>
      <c r="CL31" s="70"/>
      <c r="CM31" s="70">
        <f t="shared" si="61"/>
        <v>0</v>
      </c>
      <c r="CN31" s="70">
        <v>806746</v>
      </c>
      <c r="CO31" s="70">
        <v>3260342</v>
      </c>
      <c r="CP31" s="70">
        <f t="shared" si="62"/>
        <v>4067088</v>
      </c>
      <c r="CQ31" s="70"/>
      <c r="CR31" s="70"/>
      <c r="CS31" s="70">
        <f t="shared" si="65"/>
        <v>0</v>
      </c>
      <c r="CT31" s="70"/>
      <c r="CU31" s="70"/>
      <c r="CV31" s="70">
        <f t="shared" si="63"/>
        <v>0</v>
      </c>
    </row>
    <row r="32" spans="1:100" ht="15" customHeight="1" x14ac:dyDescent="0.25">
      <c r="A32" s="71" t="s">
        <v>223</v>
      </c>
      <c r="B32" s="70"/>
      <c r="C32" s="70"/>
      <c r="D32" s="70">
        <f t="shared" si="35"/>
        <v>0</v>
      </c>
      <c r="E32" s="70"/>
      <c r="F32" s="70"/>
      <c r="G32" s="70">
        <f t="shared" si="36"/>
        <v>0</v>
      </c>
      <c r="H32" s="70"/>
      <c r="I32" s="70"/>
      <c r="J32" s="70">
        <f t="shared" si="66"/>
        <v>0</v>
      </c>
      <c r="K32" s="70"/>
      <c r="L32" s="70"/>
      <c r="M32" s="70">
        <f t="shared" si="37"/>
        <v>0</v>
      </c>
      <c r="N32" s="70"/>
      <c r="O32" s="70"/>
      <c r="P32" s="70">
        <f t="shared" si="38"/>
        <v>0</v>
      </c>
      <c r="Q32" s="70"/>
      <c r="R32" s="70"/>
      <c r="S32" s="70">
        <f t="shared" si="39"/>
        <v>0</v>
      </c>
      <c r="T32" s="70"/>
      <c r="U32" s="70"/>
      <c r="V32" s="70">
        <f t="shared" si="40"/>
        <v>0</v>
      </c>
      <c r="W32" s="70"/>
      <c r="X32" s="70"/>
      <c r="Y32" s="70">
        <f t="shared" si="41"/>
        <v>0</v>
      </c>
      <c r="Z32" s="70"/>
      <c r="AA32" s="70">
        <f>280000+99950</f>
        <v>379950</v>
      </c>
      <c r="AB32" s="70">
        <f t="shared" si="42"/>
        <v>379950</v>
      </c>
      <c r="AC32" s="70"/>
      <c r="AD32" s="70"/>
      <c r="AE32" s="70">
        <f t="shared" si="43"/>
        <v>0</v>
      </c>
      <c r="AF32" s="70"/>
      <c r="AG32" s="70"/>
      <c r="AH32" s="70">
        <f t="shared" si="44"/>
        <v>0</v>
      </c>
      <c r="AI32" s="70"/>
      <c r="AJ32" s="70"/>
      <c r="AK32" s="70">
        <f t="shared" si="45"/>
        <v>0</v>
      </c>
      <c r="AL32" s="70"/>
      <c r="AM32" s="70"/>
      <c r="AN32" s="70">
        <f t="shared" si="46"/>
        <v>0</v>
      </c>
      <c r="AO32" s="70"/>
      <c r="AP32" s="70"/>
      <c r="AQ32" s="70">
        <f t="shared" si="47"/>
        <v>0</v>
      </c>
      <c r="AR32" s="70"/>
      <c r="AS32" s="70"/>
      <c r="AT32" s="70">
        <f t="shared" si="48"/>
        <v>0</v>
      </c>
      <c r="AU32" s="70"/>
      <c r="AV32" s="70"/>
      <c r="AW32" s="70">
        <f t="shared" si="49"/>
        <v>0</v>
      </c>
      <c r="AX32" s="70"/>
      <c r="AY32" s="70"/>
      <c r="AZ32" s="70">
        <f t="shared" si="50"/>
        <v>0</v>
      </c>
      <c r="BA32" s="70"/>
      <c r="BB32" s="70"/>
      <c r="BC32" s="70">
        <f t="shared" si="51"/>
        <v>0</v>
      </c>
      <c r="BD32" s="70"/>
      <c r="BE32" s="70"/>
      <c r="BF32" s="70">
        <f t="shared" si="52"/>
        <v>0</v>
      </c>
      <c r="BG32" s="70">
        <v>650054</v>
      </c>
      <c r="BH32" s="70">
        <v>492600</v>
      </c>
      <c r="BI32" s="70">
        <f>BH32+BG32</f>
        <v>1142654</v>
      </c>
      <c r="BJ32" s="70"/>
      <c r="BK32" s="70"/>
      <c r="BL32" s="70">
        <f t="shared" si="54"/>
        <v>0</v>
      </c>
      <c r="BM32" s="70"/>
      <c r="BN32" s="70"/>
      <c r="BO32" s="70">
        <f t="shared" si="55"/>
        <v>0</v>
      </c>
      <c r="BP32" s="70"/>
      <c r="BQ32" s="70"/>
      <c r="BR32" s="70">
        <f t="shared" si="64"/>
        <v>0</v>
      </c>
      <c r="BS32" s="70"/>
      <c r="BT32" s="70"/>
      <c r="BU32" s="70">
        <f t="shared" si="56"/>
        <v>0</v>
      </c>
      <c r="BV32" s="70"/>
      <c r="BW32" s="70"/>
      <c r="BX32" s="70">
        <f t="shared" si="57"/>
        <v>0</v>
      </c>
      <c r="BY32" s="70"/>
      <c r="BZ32" s="70"/>
      <c r="CA32" s="70">
        <f t="shared" si="67"/>
        <v>0</v>
      </c>
      <c r="CB32" s="70">
        <v>29739</v>
      </c>
      <c r="CC32" s="70">
        <v>120261</v>
      </c>
      <c r="CD32" s="70">
        <f t="shared" si="58"/>
        <v>150000</v>
      </c>
      <c r="CE32" s="70"/>
      <c r="CF32" s="70"/>
      <c r="CG32" s="70">
        <f t="shared" si="59"/>
        <v>0</v>
      </c>
      <c r="CH32" s="70"/>
      <c r="CI32" s="70"/>
      <c r="CJ32" s="70">
        <f t="shared" si="60"/>
        <v>0</v>
      </c>
      <c r="CK32" s="70"/>
      <c r="CL32" s="70"/>
      <c r="CM32" s="70">
        <f t="shared" si="61"/>
        <v>0</v>
      </c>
      <c r="CN32" s="70"/>
      <c r="CO32" s="70"/>
      <c r="CP32" s="70">
        <f t="shared" si="62"/>
        <v>0</v>
      </c>
      <c r="CQ32" s="70"/>
      <c r="CR32" s="70"/>
      <c r="CS32" s="70">
        <f t="shared" si="65"/>
        <v>0</v>
      </c>
      <c r="CT32" s="70"/>
      <c r="CU32" s="70"/>
      <c r="CV32" s="70">
        <f t="shared" si="63"/>
        <v>0</v>
      </c>
    </row>
    <row r="33" spans="1:100" ht="15" customHeight="1" x14ac:dyDescent="0.25">
      <c r="A33" s="71" t="s">
        <v>224</v>
      </c>
      <c r="B33" s="70"/>
      <c r="C33" s="70"/>
      <c r="D33" s="70">
        <f t="shared" si="35"/>
        <v>0</v>
      </c>
      <c r="E33" s="70"/>
      <c r="F33" s="70"/>
      <c r="G33" s="70">
        <f t="shared" si="36"/>
        <v>0</v>
      </c>
      <c r="H33" s="70"/>
      <c r="I33" s="70"/>
      <c r="J33" s="70">
        <f t="shared" si="66"/>
        <v>0</v>
      </c>
      <c r="K33" s="70"/>
      <c r="L33" s="70"/>
      <c r="M33" s="70">
        <f t="shared" si="37"/>
        <v>0</v>
      </c>
      <c r="N33" s="70"/>
      <c r="O33" s="70"/>
      <c r="P33" s="70">
        <f t="shared" si="38"/>
        <v>0</v>
      </c>
      <c r="Q33" s="70"/>
      <c r="R33" s="70"/>
      <c r="S33" s="70">
        <f t="shared" si="39"/>
        <v>0</v>
      </c>
      <c r="T33" s="70"/>
      <c r="U33" s="70"/>
      <c r="V33" s="70">
        <f t="shared" si="40"/>
        <v>0</v>
      </c>
      <c r="W33" s="70"/>
      <c r="X33" s="70"/>
      <c r="Y33" s="70">
        <f t="shared" si="41"/>
        <v>0</v>
      </c>
      <c r="Z33" s="70"/>
      <c r="AA33" s="70"/>
      <c r="AB33" s="70">
        <f t="shared" si="42"/>
        <v>0</v>
      </c>
      <c r="AC33" s="70"/>
      <c r="AD33" s="70"/>
      <c r="AE33" s="70">
        <f t="shared" si="43"/>
        <v>0</v>
      </c>
      <c r="AF33" s="70"/>
      <c r="AG33" s="70"/>
      <c r="AH33" s="70">
        <f t="shared" si="44"/>
        <v>0</v>
      </c>
      <c r="AI33" s="70"/>
      <c r="AJ33" s="70"/>
      <c r="AK33" s="70">
        <f t="shared" si="45"/>
        <v>0</v>
      </c>
      <c r="AL33" s="70"/>
      <c r="AM33" s="70"/>
      <c r="AN33" s="70">
        <f t="shared" si="46"/>
        <v>0</v>
      </c>
      <c r="AO33" s="70"/>
      <c r="AP33" s="70"/>
      <c r="AQ33" s="70">
        <f t="shared" si="47"/>
        <v>0</v>
      </c>
      <c r="AR33" s="70"/>
      <c r="AS33" s="70"/>
      <c r="AT33" s="70">
        <f t="shared" si="48"/>
        <v>0</v>
      </c>
      <c r="AU33" s="70"/>
      <c r="AV33" s="70"/>
      <c r="AW33" s="70">
        <f t="shared" si="49"/>
        <v>0</v>
      </c>
      <c r="AX33" s="70"/>
      <c r="AY33" s="70"/>
      <c r="AZ33" s="70">
        <f t="shared" si="50"/>
        <v>0</v>
      </c>
      <c r="BA33" s="70"/>
      <c r="BB33" s="70"/>
      <c r="BC33" s="70">
        <f t="shared" si="51"/>
        <v>0</v>
      </c>
      <c r="BD33" s="70"/>
      <c r="BE33" s="70"/>
      <c r="BF33" s="70">
        <f t="shared" si="52"/>
        <v>0</v>
      </c>
      <c r="BG33" s="70"/>
      <c r="BH33" s="70"/>
      <c r="BI33" s="70">
        <f t="shared" si="53"/>
        <v>0</v>
      </c>
      <c r="BJ33" s="70"/>
      <c r="BK33" s="70"/>
      <c r="BL33" s="70">
        <f t="shared" si="54"/>
        <v>0</v>
      </c>
      <c r="BM33" s="70"/>
      <c r="BN33" s="70"/>
      <c r="BO33" s="70">
        <f t="shared" si="55"/>
        <v>0</v>
      </c>
      <c r="BP33" s="70"/>
      <c r="BQ33" s="70"/>
      <c r="BR33" s="70">
        <f t="shared" si="64"/>
        <v>0</v>
      </c>
      <c r="BS33" s="70"/>
      <c r="BT33" s="70"/>
      <c r="BU33" s="70">
        <f t="shared" si="56"/>
        <v>0</v>
      </c>
      <c r="BV33" s="70"/>
      <c r="BW33" s="70"/>
      <c r="BX33" s="70">
        <f t="shared" si="57"/>
        <v>0</v>
      </c>
      <c r="BY33" s="70"/>
      <c r="BZ33" s="70"/>
      <c r="CA33" s="70">
        <f t="shared" si="67"/>
        <v>0</v>
      </c>
      <c r="CB33" s="70"/>
      <c r="CC33" s="70"/>
      <c r="CD33" s="70">
        <f t="shared" si="58"/>
        <v>0</v>
      </c>
      <c r="CE33" s="70"/>
      <c r="CF33" s="70"/>
      <c r="CG33" s="70">
        <f t="shared" si="59"/>
        <v>0</v>
      </c>
      <c r="CH33" s="70"/>
      <c r="CI33" s="70"/>
      <c r="CJ33" s="70">
        <f t="shared" si="60"/>
        <v>0</v>
      </c>
      <c r="CK33" s="70"/>
      <c r="CL33" s="70"/>
      <c r="CM33" s="70">
        <f t="shared" si="61"/>
        <v>0</v>
      </c>
      <c r="CN33" s="70"/>
      <c r="CO33" s="70"/>
      <c r="CP33" s="70">
        <f t="shared" si="62"/>
        <v>0</v>
      </c>
      <c r="CQ33" s="70"/>
      <c r="CR33" s="70"/>
      <c r="CS33" s="70">
        <f t="shared" si="65"/>
        <v>0</v>
      </c>
      <c r="CT33" s="70"/>
      <c r="CU33" s="70"/>
      <c r="CV33" s="70">
        <f t="shared" si="63"/>
        <v>0</v>
      </c>
    </row>
    <row r="34" spans="1:100" ht="15" customHeight="1" x14ac:dyDescent="0.25">
      <c r="A34" s="71" t="s">
        <v>214</v>
      </c>
      <c r="B34" s="70">
        <v>82516</v>
      </c>
      <c r="C34" s="70">
        <v>67622</v>
      </c>
      <c r="D34" s="70">
        <f t="shared" si="35"/>
        <v>150138</v>
      </c>
      <c r="E34" s="70"/>
      <c r="F34" s="70">
        <f>101235+99972</f>
        <v>201207</v>
      </c>
      <c r="G34" s="70">
        <f t="shared" si="36"/>
        <v>201207</v>
      </c>
      <c r="H34" s="70"/>
      <c r="I34" s="70"/>
      <c r="J34" s="70">
        <v>1205636</v>
      </c>
      <c r="K34" s="70"/>
      <c r="L34" s="70">
        <v>1097393</v>
      </c>
      <c r="M34" s="70">
        <f t="shared" si="37"/>
        <v>1097393</v>
      </c>
      <c r="N34" s="70">
        <v>1605369</v>
      </c>
      <c r="O34" s="70">
        <v>6582532</v>
      </c>
      <c r="P34" s="70">
        <f t="shared" si="38"/>
        <v>8187901</v>
      </c>
      <c r="Q34" s="70">
        <v>282965</v>
      </c>
      <c r="R34" s="70">
        <v>1667175</v>
      </c>
      <c r="S34" s="70">
        <f t="shared" si="39"/>
        <v>1950140</v>
      </c>
      <c r="T34" s="70">
        <v>56824</v>
      </c>
      <c r="U34" s="70">
        <v>594006</v>
      </c>
      <c r="V34" s="70">
        <f t="shared" si="40"/>
        <v>650830</v>
      </c>
      <c r="W34" s="70"/>
      <c r="X34" s="70">
        <v>50109</v>
      </c>
      <c r="Y34" s="70">
        <f t="shared" si="41"/>
        <v>50109</v>
      </c>
      <c r="Z34" s="70"/>
      <c r="AA34" s="70"/>
      <c r="AB34" s="70">
        <f t="shared" si="42"/>
        <v>0</v>
      </c>
      <c r="AC34" s="70">
        <v>32482</v>
      </c>
      <c r="AD34" s="70"/>
      <c r="AE34" s="70">
        <f t="shared" si="43"/>
        <v>32482</v>
      </c>
      <c r="AF34" s="70">
        <v>672196.8</v>
      </c>
      <c r="AG34" s="70">
        <v>967307.6</v>
      </c>
      <c r="AH34" s="70">
        <f t="shared" si="44"/>
        <v>1639504.4</v>
      </c>
      <c r="AI34" s="70">
        <v>170213</v>
      </c>
      <c r="AJ34" s="70">
        <v>904550</v>
      </c>
      <c r="AK34" s="70">
        <f t="shared" si="45"/>
        <v>1074763</v>
      </c>
      <c r="AL34" s="70"/>
      <c r="AM34" s="70">
        <v>99873</v>
      </c>
      <c r="AN34" s="70">
        <f t="shared" si="46"/>
        <v>99873</v>
      </c>
      <c r="AO34" s="70">
        <v>1029835</v>
      </c>
      <c r="AP34" s="70">
        <v>4086826</v>
      </c>
      <c r="AQ34" s="70">
        <f t="shared" si="47"/>
        <v>5116661</v>
      </c>
      <c r="AR34" s="70">
        <v>1053461</v>
      </c>
      <c r="AS34" s="70">
        <v>3551012</v>
      </c>
      <c r="AT34" s="70">
        <f t="shared" si="48"/>
        <v>4604473</v>
      </c>
      <c r="AU34" s="70">
        <v>456535</v>
      </c>
      <c r="AV34" s="70">
        <v>1612769</v>
      </c>
      <c r="AW34" s="70">
        <f t="shared" si="49"/>
        <v>2069304</v>
      </c>
      <c r="AX34" s="70">
        <v>57704</v>
      </c>
      <c r="AY34" s="70">
        <v>141117</v>
      </c>
      <c r="AZ34" s="70">
        <f t="shared" si="50"/>
        <v>198821</v>
      </c>
      <c r="BA34" s="70">
        <v>100547</v>
      </c>
      <c r="BB34" s="70">
        <v>351150</v>
      </c>
      <c r="BC34" s="70">
        <f t="shared" si="51"/>
        <v>451697</v>
      </c>
      <c r="BD34" s="70">
        <v>25537</v>
      </c>
      <c r="BE34" s="70">
        <v>174245</v>
      </c>
      <c r="BF34" s="70">
        <f t="shared" si="52"/>
        <v>199782</v>
      </c>
      <c r="BG34" s="70"/>
      <c r="BH34" s="70"/>
      <c r="BI34" s="70">
        <f t="shared" si="53"/>
        <v>0</v>
      </c>
      <c r="BJ34" s="70">
        <v>238000</v>
      </c>
      <c r="BK34" s="70">
        <v>2838433</v>
      </c>
      <c r="BL34" s="70">
        <f t="shared" si="54"/>
        <v>3076433</v>
      </c>
      <c r="BM34" s="70">
        <v>4597306</v>
      </c>
      <c r="BN34" s="70">
        <v>9239491</v>
      </c>
      <c r="BO34" s="70">
        <f t="shared" si="55"/>
        <v>13836797</v>
      </c>
      <c r="BP34" s="70"/>
      <c r="BQ34" s="70"/>
      <c r="BR34" s="70">
        <v>4622771</v>
      </c>
      <c r="BS34" s="70">
        <v>82275</v>
      </c>
      <c r="BT34" s="70">
        <v>117554</v>
      </c>
      <c r="BU34" s="70">
        <f t="shared" si="56"/>
        <v>199829</v>
      </c>
      <c r="BV34" s="70">
        <v>357870</v>
      </c>
      <c r="BW34" s="70">
        <v>1916219</v>
      </c>
      <c r="BX34" s="70">
        <f t="shared" si="57"/>
        <v>2274089</v>
      </c>
      <c r="BY34" s="70"/>
      <c r="BZ34" s="70"/>
      <c r="CA34" s="70">
        <f>149424+701052</f>
        <v>850476</v>
      </c>
      <c r="CB34" s="70">
        <v>574411</v>
      </c>
      <c r="CC34" s="70">
        <v>2322855</v>
      </c>
      <c r="CD34" s="70">
        <f t="shared" si="58"/>
        <v>2897266</v>
      </c>
      <c r="CE34" s="70">
        <v>550000</v>
      </c>
      <c r="CF34" s="70">
        <f>3934491-70133</f>
        <v>3864358</v>
      </c>
      <c r="CG34" s="70">
        <f t="shared" si="59"/>
        <v>4414358</v>
      </c>
      <c r="CH34" s="70">
        <v>650029</v>
      </c>
      <c r="CI34" s="70">
        <v>18343563</v>
      </c>
      <c r="CJ34" s="70">
        <f t="shared" si="60"/>
        <v>18993592</v>
      </c>
      <c r="CK34" s="70">
        <v>81593</v>
      </c>
      <c r="CL34" s="70">
        <v>118513</v>
      </c>
      <c r="CM34" s="70">
        <f t="shared" si="61"/>
        <v>200106</v>
      </c>
      <c r="CN34" s="70">
        <v>1886928</v>
      </c>
      <c r="CO34" s="70">
        <v>7625733</v>
      </c>
      <c r="CP34" s="70">
        <f t="shared" si="62"/>
        <v>9512661</v>
      </c>
      <c r="CQ34" s="70"/>
      <c r="CR34" s="70"/>
      <c r="CS34" s="70">
        <v>6051373</v>
      </c>
      <c r="CT34" s="70">
        <v>447102</v>
      </c>
      <c r="CU34" s="70">
        <v>827244</v>
      </c>
      <c r="CV34" s="70">
        <f t="shared" si="63"/>
        <v>1274346</v>
      </c>
    </row>
    <row r="35" spans="1:100" x14ac:dyDescent="0.25">
      <c r="A35" s="71" t="s">
        <v>215</v>
      </c>
      <c r="B35" s="70">
        <v>27471</v>
      </c>
      <c r="C35" s="70">
        <v>22512</v>
      </c>
      <c r="D35" s="70">
        <f t="shared" si="35"/>
        <v>49983</v>
      </c>
      <c r="E35" s="70"/>
      <c r="F35" s="70"/>
      <c r="G35" s="70">
        <f t="shared" si="36"/>
        <v>0</v>
      </c>
      <c r="H35" s="70"/>
      <c r="I35" s="70"/>
      <c r="J35" s="70">
        <v>150000</v>
      </c>
      <c r="K35" s="70"/>
      <c r="L35" s="70"/>
      <c r="M35" s="70">
        <f t="shared" si="37"/>
        <v>0</v>
      </c>
      <c r="N35" s="70"/>
      <c r="O35" s="70"/>
      <c r="P35" s="70">
        <f t="shared" si="38"/>
        <v>0</v>
      </c>
      <c r="Q35" s="70">
        <f>181281-4353</f>
        <v>176928</v>
      </c>
      <c r="R35" s="70">
        <f>1068074-25644</f>
        <v>1042430</v>
      </c>
      <c r="S35" s="70">
        <f t="shared" si="39"/>
        <v>1219358</v>
      </c>
      <c r="T35" s="70">
        <v>107873</v>
      </c>
      <c r="U35" s="70">
        <v>1134047</v>
      </c>
      <c r="V35" s="70">
        <f t="shared" si="40"/>
        <v>1241920</v>
      </c>
      <c r="W35" s="70"/>
      <c r="X35" s="70">
        <v>49949</v>
      </c>
      <c r="Y35" s="70">
        <f t="shared" si="41"/>
        <v>49949</v>
      </c>
      <c r="Z35" s="70">
        <v>99626</v>
      </c>
      <c r="AA35" s="70"/>
      <c r="AB35" s="70">
        <f t="shared" si="42"/>
        <v>99626</v>
      </c>
      <c r="AC35" s="70">
        <v>63510</v>
      </c>
      <c r="AD35" s="70"/>
      <c r="AE35" s="70">
        <f t="shared" si="43"/>
        <v>63510</v>
      </c>
      <c r="AF35" s="70">
        <v>347878.82</v>
      </c>
      <c r="AG35" s="70">
        <v>500606.11</v>
      </c>
      <c r="AH35" s="70">
        <f t="shared" si="44"/>
        <v>848484.92999999993</v>
      </c>
      <c r="AI35" s="70">
        <v>37067</v>
      </c>
      <c r="AJ35" s="70">
        <v>196984</v>
      </c>
      <c r="AK35" s="70">
        <f t="shared" si="45"/>
        <v>234051</v>
      </c>
      <c r="AL35" s="70"/>
      <c r="AM35" s="70"/>
      <c r="AN35" s="70">
        <f t="shared" si="46"/>
        <v>0</v>
      </c>
      <c r="AO35" s="70">
        <v>70542</v>
      </c>
      <c r="AP35" s="70">
        <v>279941</v>
      </c>
      <c r="AQ35" s="70">
        <f t="shared" si="47"/>
        <v>350483</v>
      </c>
      <c r="AR35" s="70"/>
      <c r="AS35" s="70"/>
      <c r="AT35" s="70">
        <f t="shared" si="48"/>
        <v>0</v>
      </c>
      <c r="AU35" s="70"/>
      <c r="AV35" s="70"/>
      <c r="AW35" s="70">
        <f t="shared" si="49"/>
        <v>0</v>
      </c>
      <c r="AX35" s="70"/>
      <c r="AY35" s="70"/>
      <c r="AZ35" s="70">
        <f t="shared" si="50"/>
        <v>0</v>
      </c>
      <c r="BA35" s="70">
        <v>11130</v>
      </c>
      <c r="BB35" s="70">
        <v>38870</v>
      </c>
      <c r="BC35" s="70">
        <f t="shared" si="51"/>
        <v>50000</v>
      </c>
      <c r="BD35" s="70">
        <v>38420</v>
      </c>
      <c r="BE35" s="70">
        <v>262154</v>
      </c>
      <c r="BF35" s="70">
        <f t="shared" si="52"/>
        <v>300574</v>
      </c>
      <c r="BG35" s="70"/>
      <c r="BH35" s="70">
        <v>249803</v>
      </c>
      <c r="BI35" s="70">
        <f t="shared" si="53"/>
        <v>249803</v>
      </c>
      <c r="BJ35" s="70"/>
      <c r="BK35" s="70"/>
      <c r="BL35" s="70">
        <f t="shared" si="54"/>
        <v>0</v>
      </c>
      <c r="BM35" s="70">
        <v>250632</v>
      </c>
      <c r="BN35" s="70"/>
      <c r="BO35" s="70">
        <f t="shared" si="55"/>
        <v>250632</v>
      </c>
      <c r="BP35" s="70"/>
      <c r="BQ35" s="70"/>
      <c r="BR35" s="70">
        <f t="shared" si="64"/>
        <v>0</v>
      </c>
      <c r="BS35" s="70"/>
      <c r="BT35" s="70"/>
      <c r="BU35" s="70">
        <f t="shared" si="56"/>
        <v>0</v>
      </c>
      <c r="BV35" s="70">
        <f>123499-33843</f>
        <v>89656</v>
      </c>
      <c r="BW35" s="70">
        <f>661303-176157</f>
        <v>485146</v>
      </c>
      <c r="BX35" s="70">
        <f t="shared" si="57"/>
        <v>574802</v>
      </c>
      <c r="BY35" s="70"/>
      <c r="BZ35" s="70"/>
      <c r="CA35" s="70">
        <v>0</v>
      </c>
      <c r="CB35" s="70">
        <v>177651</v>
      </c>
      <c r="CC35" s="70">
        <v>718403</v>
      </c>
      <c r="CD35" s="70">
        <f t="shared" si="58"/>
        <v>896054</v>
      </c>
      <c r="CE35" s="70"/>
      <c r="CF35" s="70"/>
      <c r="CG35" s="70">
        <f t="shared" si="59"/>
        <v>0</v>
      </c>
      <c r="CH35" s="70"/>
      <c r="CI35" s="70"/>
      <c r="CJ35" s="70">
        <f t="shared" si="60"/>
        <v>0</v>
      </c>
      <c r="CK35" s="70"/>
      <c r="CL35" s="70"/>
      <c r="CM35" s="70">
        <f t="shared" si="61"/>
        <v>0</v>
      </c>
      <c r="CN35" s="70"/>
      <c r="CO35" s="70"/>
      <c r="CP35" s="70">
        <f t="shared" si="62"/>
        <v>0</v>
      </c>
      <c r="CQ35" s="70"/>
      <c r="CR35" s="70"/>
      <c r="CS35" s="70">
        <v>1790764</v>
      </c>
      <c r="CT35" s="70">
        <v>65804</v>
      </c>
      <c r="CU35" s="70">
        <v>121753</v>
      </c>
      <c r="CV35" s="70">
        <f t="shared" si="63"/>
        <v>187557</v>
      </c>
    </row>
    <row r="36" spans="1:100" s="73" customFormat="1" x14ac:dyDescent="0.25">
      <c r="A36" s="69" t="s">
        <v>218</v>
      </c>
      <c r="B36" s="72">
        <f>SUM(B22:B35)</f>
        <v>373666</v>
      </c>
      <c r="C36" s="72">
        <f t="shared" ref="C36:BN36" si="68">SUM(C22:C35)</f>
        <v>306220</v>
      </c>
      <c r="D36" s="72">
        <f t="shared" si="68"/>
        <v>679886</v>
      </c>
      <c r="E36" s="72">
        <f t="shared" si="68"/>
        <v>49703</v>
      </c>
      <c r="F36" s="72">
        <f t="shared" si="68"/>
        <v>691194</v>
      </c>
      <c r="G36" s="72">
        <f t="shared" si="68"/>
        <v>740897</v>
      </c>
      <c r="H36" s="72">
        <f t="shared" si="68"/>
        <v>0</v>
      </c>
      <c r="I36" s="72">
        <f t="shared" si="68"/>
        <v>0</v>
      </c>
      <c r="J36" s="72">
        <f t="shared" si="68"/>
        <v>26101707</v>
      </c>
      <c r="K36" s="72">
        <f t="shared" si="68"/>
        <v>0</v>
      </c>
      <c r="L36" s="72">
        <f t="shared" si="68"/>
        <v>2637899</v>
      </c>
      <c r="M36" s="72">
        <f t="shared" si="68"/>
        <v>2637899</v>
      </c>
      <c r="N36" s="72">
        <f t="shared" si="68"/>
        <v>3313398</v>
      </c>
      <c r="O36" s="72">
        <f t="shared" si="68"/>
        <v>15052884</v>
      </c>
      <c r="P36" s="72">
        <f t="shared" si="68"/>
        <v>18366282</v>
      </c>
      <c r="Q36" s="72">
        <f t="shared" si="68"/>
        <v>739780</v>
      </c>
      <c r="R36" s="72">
        <f t="shared" si="68"/>
        <v>4358640</v>
      </c>
      <c r="S36" s="72">
        <f t="shared" si="68"/>
        <v>5098420</v>
      </c>
      <c r="T36" s="72">
        <f t="shared" si="68"/>
        <v>723018</v>
      </c>
      <c r="U36" s="72">
        <f t="shared" si="68"/>
        <v>7564388</v>
      </c>
      <c r="V36" s="72">
        <f t="shared" si="68"/>
        <v>8287406</v>
      </c>
      <c r="W36" s="72">
        <f t="shared" si="68"/>
        <v>213942</v>
      </c>
      <c r="X36" s="72">
        <f t="shared" si="68"/>
        <v>669180</v>
      </c>
      <c r="Y36" s="72">
        <f t="shared" si="68"/>
        <v>883122</v>
      </c>
      <c r="Z36" s="72">
        <f t="shared" si="68"/>
        <v>108831</v>
      </c>
      <c r="AA36" s="72">
        <f t="shared" si="68"/>
        <v>691257</v>
      </c>
      <c r="AB36" s="72">
        <f t="shared" si="68"/>
        <v>800088</v>
      </c>
      <c r="AC36" s="72">
        <f t="shared" si="68"/>
        <v>593551</v>
      </c>
      <c r="AD36" s="72">
        <f t="shared" si="68"/>
        <v>5030</v>
      </c>
      <c r="AE36" s="72">
        <f t="shared" si="68"/>
        <v>598581</v>
      </c>
      <c r="AF36" s="72">
        <f t="shared" si="68"/>
        <v>7011310.5699999994</v>
      </c>
      <c r="AG36" s="72">
        <f t="shared" si="68"/>
        <v>10089446.92</v>
      </c>
      <c r="AH36" s="72">
        <f t="shared" si="68"/>
        <v>17100757.490000002</v>
      </c>
      <c r="AI36" s="72">
        <f t="shared" si="68"/>
        <v>807072</v>
      </c>
      <c r="AJ36" s="72">
        <f t="shared" si="68"/>
        <v>4288967</v>
      </c>
      <c r="AK36" s="72">
        <f t="shared" si="68"/>
        <v>5096039</v>
      </c>
      <c r="AL36" s="72">
        <f t="shared" si="68"/>
        <v>0</v>
      </c>
      <c r="AM36" s="72">
        <f t="shared" si="68"/>
        <v>447684</v>
      </c>
      <c r="AN36" s="72">
        <f t="shared" si="68"/>
        <v>447684</v>
      </c>
      <c r="AO36" s="72">
        <f t="shared" si="68"/>
        <v>2391699</v>
      </c>
      <c r="AP36" s="72">
        <f t="shared" si="68"/>
        <v>9491282</v>
      </c>
      <c r="AQ36" s="72">
        <f t="shared" si="68"/>
        <v>11882981</v>
      </c>
      <c r="AR36" s="72">
        <f t="shared" si="68"/>
        <v>6785979</v>
      </c>
      <c r="AS36" s="72">
        <f t="shared" si="68"/>
        <v>21589864</v>
      </c>
      <c r="AT36" s="72">
        <f t="shared" si="68"/>
        <v>28375843</v>
      </c>
      <c r="AU36" s="72">
        <f t="shared" si="68"/>
        <v>3825901</v>
      </c>
      <c r="AV36" s="72">
        <f t="shared" si="68"/>
        <v>13515500</v>
      </c>
      <c r="AW36" s="72">
        <f t="shared" si="68"/>
        <v>17341401</v>
      </c>
      <c r="AX36" s="72">
        <f t="shared" si="68"/>
        <v>380881</v>
      </c>
      <c r="AY36" s="72">
        <f t="shared" si="68"/>
        <v>931453</v>
      </c>
      <c r="AZ36" s="72">
        <f t="shared" si="68"/>
        <v>1312334</v>
      </c>
      <c r="BA36" s="72">
        <f t="shared" si="68"/>
        <v>1010103</v>
      </c>
      <c r="BB36" s="72">
        <f t="shared" si="68"/>
        <v>3515247</v>
      </c>
      <c r="BC36" s="72">
        <f t="shared" si="68"/>
        <v>4525350</v>
      </c>
      <c r="BD36" s="72">
        <f t="shared" si="68"/>
        <v>178285</v>
      </c>
      <c r="BE36" s="72">
        <f t="shared" si="68"/>
        <v>1216498</v>
      </c>
      <c r="BF36" s="72">
        <f t="shared" si="68"/>
        <v>1394783</v>
      </c>
      <c r="BG36" s="72">
        <f t="shared" si="68"/>
        <v>774041</v>
      </c>
      <c r="BH36" s="72">
        <f t="shared" si="68"/>
        <v>1860702</v>
      </c>
      <c r="BI36" s="72">
        <f t="shared" si="68"/>
        <v>2634743</v>
      </c>
      <c r="BJ36" s="72">
        <f t="shared" si="68"/>
        <v>1588907</v>
      </c>
      <c r="BK36" s="72">
        <f t="shared" si="68"/>
        <v>18949637</v>
      </c>
      <c r="BL36" s="72">
        <f t="shared" si="68"/>
        <v>20538544</v>
      </c>
      <c r="BM36" s="72">
        <f t="shared" si="68"/>
        <v>15062579</v>
      </c>
      <c r="BN36" s="72">
        <f t="shared" si="68"/>
        <v>30272199</v>
      </c>
      <c r="BO36" s="72">
        <f t="shared" ref="BO36:CV36" si="69">SUM(BO22:BO35)</f>
        <v>45334778</v>
      </c>
      <c r="BP36" s="72">
        <f t="shared" si="69"/>
        <v>0</v>
      </c>
      <c r="BQ36" s="72">
        <f t="shared" si="69"/>
        <v>0</v>
      </c>
      <c r="BR36" s="72">
        <f t="shared" si="69"/>
        <v>17032768</v>
      </c>
      <c r="BS36" s="72">
        <f t="shared" si="69"/>
        <v>522115</v>
      </c>
      <c r="BT36" s="72">
        <f t="shared" si="69"/>
        <v>745992</v>
      </c>
      <c r="BU36" s="72">
        <f t="shared" si="69"/>
        <v>1268107</v>
      </c>
      <c r="BV36" s="72">
        <f t="shared" si="69"/>
        <v>3051705</v>
      </c>
      <c r="BW36" s="72">
        <f t="shared" si="69"/>
        <v>16345490</v>
      </c>
      <c r="BX36" s="72">
        <f t="shared" si="69"/>
        <v>19397195</v>
      </c>
      <c r="BY36" s="72">
        <f t="shared" si="69"/>
        <v>0</v>
      </c>
      <c r="BZ36" s="72">
        <f t="shared" si="69"/>
        <v>0</v>
      </c>
      <c r="CA36" s="72">
        <f t="shared" si="69"/>
        <v>3286873</v>
      </c>
      <c r="CB36" s="72">
        <f t="shared" si="69"/>
        <v>2484139</v>
      </c>
      <c r="CC36" s="72">
        <f t="shared" si="69"/>
        <v>10045589</v>
      </c>
      <c r="CD36" s="72">
        <f t="shared" si="69"/>
        <v>12529728</v>
      </c>
      <c r="CE36" s="72">
        <f t="shared" si="69"/>
        <v>809532</v>
      </c>
      <c r="CF36" s="72">
        <f t="shared" si="69"/>
        <v>12503185</v>
      </c>
      <c r="CG36" s="72">
        <f t="shared" si="69"/>
        <v>13312717</v>
      </c>
      <c r="CH36" s="72">
        <f t="shared" si="69"/>
        <v>1300058</v>
      </c>
      <c r="CI36" s="72">
        <f t="shared" si="69"/>
        <v>20419116</v>
      </c>
      <c r="CJ36" s="72">
        <f t="shared" si="69"/>
        <v>21719174</v>
      </c>
      <c r="CK36" s="72">
        <f t="shared" si="69"/>
        <v>600383</v>
      </c>
      <c r="CL36" s="72">
        <f t="shared" si="69"/>
        <v>872047</v>
      </c>
      <c r="CM36" s="72">
        <f t="shared" si="69"/>
        <v>1472430</v>
      </c>
      <c r="CN36" s="72">
        <f t="shared" si="69"/>
        <v>3363530</v>
      </c>
      <c r="CO36" s="72">
        <f t="shared" si="69"/>
        <v>14914455</v>
      </c>
      <c r="CP36" s="72">
        <f t="shared" si="69"/>
        <v>16956729</v>
      </c>
      <c r="CQ36" s="72">
        <f t="shared" si="69"/>
        <v>0</v>
      </c>
      <c r="CR36" s="72">
        <f t="shared" si="69"/>
        <v>0</v>
      </c>
      <c r="CS36" s="72">
        <f t="shared" si="69"/>
        <v>28255480</v>
      </c>
      <c r="CT36" s="72">
        <f t="shared" si="69"/>
        <v>1672293</v>
      </c>
      <c r="CU36" s="72">
        <f t="shared" si="69"/>
        <v>3094137</v>
      </c>
      <c r="CV36" s="72">
        <f t="shared" si="69"/>
        <v>4766430</v>
      </c>
    </row>
    <row r="37" spans="1:100" s="73" customFormat="1" x14ac:dyDescent="0.25">
      <c r="A37" s="69" t="s">
        <v>57</v>
      </c>
      <c r="B37" s="72">
        <f>B36+B20</f>
        <v>1798196</v>
      </c>
      <c r="C37" s="72">
        <f t="shared" ref="C37:BN37" si="70">C36+C20</f>
        <v>1473628</v>
      </c>
      <c r="D37" s="72">
        <f t="shared" si="70"/>
        <v>3271824</v>
      </c>
      <c r="E37" s="72">
        <f t="shared" si="70"/>
        <v>1702061</v>
      </c>
      <c r="F37" s="72">
        <f t="shared" si="70"/>
        <v>3817576</v>
      </c>
      <c r="G37" s="72">
        <f t="shared" si="70"/>
        <v>5519637</v>
      </c>
      <c r="H37" s="72">
        <f t="shared" si="70"/>
        <v>0</v>
      </c>
      <c r="I37" s="72">
        <f t="shared" si="70"/>
        <v>0</v>
      </c>
      <c r="J37" s="72">
        <f t="shared" si="70"/>
        <v>61163403</v>
      </c>
      <c r="K37" s="72">
        <f t="shared" si="70"/>
        <v>1200000</v>
      </c>
      <c r="L37" s="72">
        <f t="shared" si="70"/>
        <v>12530790</v>
      </c>
      <c r="M37" s="72">
        <f t="shared" si="70"/>
        <v>13730790</v>
      </c>
      <c r="N37" s="72">
        <f t="shared" si="70"/>
        <v>36497035</v>
      </c>
      <c r="O37" s="72">
        <f t="shared" si="70"/>
        <v>133573898</v>
      </c>
      <c r="P37" s="72">
        <f t="shared" si="70"/>
        <v>170070933</v>
      </c>
      <c r="Q37" s="72">
        <f t="shared" si="70"/>
        <v>5924450</v>
      </c>
      <c r="R37" s="72">
        <f t="shared" si="70"/>
        <v>34905665</v>
      </c>
      <c r="S37" s="72">
        <f t="shared" si="70"/>
        <v>40830115</v>
      </c>
      <c r="T37" s="72">
        <f t="shared" si="70"/>
        <v>6925181</v>
      </c>
      <c r="U37" s="72">
        <f t="shared" si="70"/>
        <v>72381638</v>
      </c>
      <c r="V37" s="72">
        <f t="shared" si="70"/>
        <v>79306819</v>
      </c>
      <c r="W37" s="72">
        <f t="shared" si="70"/>
        <v>1658863</v>
      </c>
      <c r="X37" s="72">
        <f t="shared" si="70"/>
        <v>3306428</v>
      </c>
      <c r="Y37" s="72">
        <f t="shared" si="70"/>
        <v>4965291</v>
      </c>
      <c r="Z37" s="72">
        <f t="shared" si="70"/>
        <v>462820</v>
      </c>
      <c r="AA37" s="72">
        <f t="shared" si="70"/>
        <v>1999786</v>
      </c>
      <c r="AB37" s="72">
        <f t="shared" si="70"/>
        <v>2462606</v>
      </c>
      <c r="AC37" s="72">
        <f t="shared" si="70"/>
        <v>1624145</v>
      </c>
      <c r="AD37" s="72">
        <f t="shared" si="70"/>
        <v>309709</v>
      </c>
      <c r="AE37" s="72">
        <f t="shared" si="70"/>
        <v>1933854</v>
      </c>
      <c r="AF37" s="72">
        <f t="shared" si="70"/>
        <v>43315331.229999997</v>
      </c>
      <c r="AG37" s="72">
        <f t="shared" si="70"/>
        <v>62331818.090000004</v>
      </c>
      <c r="AH37" s="72">
        <f t="shared" si="70"/>
        <v>105647149.31999999</v>
      </c>
      <c r="AI37" s="72">
        <f t="shared" si="70"/>
        <v>6036033</v>
      </c>
      <c r="AJ37" s="72">
        <f t="shared" si="70"/>
        <v>32076839</v>
      </c>
      <c r="AK37" s="72">
        <f t="shared" si="70"/>
        <v>38112872</v>
      </c>
      <c r="AL37" s="72">
        <f t="shared" si="70"/>
        <v>0</v>
      </c>
      <c r="AM37" s="72">
        <f t="shared" si="70"/>
        <v>10871117</v>
      </c>
      <c r="AN37" s="72">
        <f t="shared" si="70"/>
        <v>10871117</v>
      </c>
      <c r="AO37" s="72">
        <f t="shared" si="70"/>
        <v>19481469</v>
      </c>
      <c r="AP37" s="72">
        <f t="shared" si="70"/>
        <v>77310833</v>
      </c>
      <c r="AQ37" s="72">
        <f t="shared" si="70"/>
        <v>96792302</v>
      </c>
      <c r="AR37" s="72">
        <f t="shared" si="70"/>
        <v>54717237</v>
      </c>
      <c r="AS37" s="72">
        <f t="shared" si="70"/>
        <v>182389871</v>
      </c>
      <c r="AT37" s="72">
        <f t="shared" si="70"/>
        <v>237107108</v>
      </c>
      <c r="AU37" s="72">
        <f t="shared" si="70"/>
        <v>19943952</v>
      </c>
      <c r="AV37" s="72">
        <f t="shared" si="70"/>
        <v>70454647</v>
      </c>
      <c r="AW37" s="72">
        <f t="shared" si="70"/>
        <v>90398599</v>
      </c>
      <c r="AX37" s="72">
        <f t="shared" si="70"/>
        <v>1314977</v>
      </c>
      <c r="AY37" s="72">
        <f t="shared" si="70"/>
        <v>3561729</v>
      </c>
      <c r="AZ37" s="72">
        <f t="shared" si="70"/>
        <v>4876706</v>
      </c>
      <c r="BA37" s="72">
        <f t="shared" si="70"/>
        <v>4332240</v>
      </c>
      <c r="BB37" s="72">
        <f t="shared" si="70"/>
        <v>15117470</v>
      </c>
      <c r="BC37" s="72">
        <f t="shared" si="70"/>
        <v>19449710</v>
      </c>
      <c r="BD37" s="72">
        <f t="shared" si="70"/>
        <v>2124029</v>
      </c>
      <c r="BE37" s="72">
        <f t="shared" si="70"/>
        <v>14492927</v>
      </c>
      <c r="BF37" s="72">
        <f t="shared" si="70"/>
        <v>16616956</v>
      </c>
      <c r="BG37" s="72">
        <f t="shared" si="70"/>
        <v>2836677</v>
      </c>
      <c r="BH37" s="72">
        <f t="shared" si="70"/>
        <v>5841229</v>
      </c>
      <c r="BI37" s="72">
        <f t="shared" si="70"/>
        <v>8677906</v>
      </c>
      <c r="BJ37" s="72">
        <f t="shared" si="70"/>
        <v>18194358</v>
      </c>
      <c r="BK37" s="72">
        <f t="shared" si="70"/>
        <v>216989727</v>
      </c>
      <c r="BL37" s="72">
        <f t="shared" si="70"/>
        <v>235184085</v>
      </c>
      <c r="BM37" s="72">
        <f t="shared" si="70"/>
        <v>203395605</v>
      </c>
      <c r="BN37" s="72">
        <f t="shared" si="70"/>
        <v>397594198</v>
      </c>
      <c r="BO37" s="72">
        <f t="shared" ref="BO37:CV37" si="71">BO36+BO20</f>
        <v>600989803</v>
      </c>
      <c r="BP37" s="72">
        <f t="shared" si="71"/>
        <v>0</v>
      </c>
      <c r="BQ37" s="72">
        <f t="shared" si="71"/>
        <v>0</v>
      </c>
      <c r="BR37" s="72">
        <f t="shared" si="71"/>
        <v>235443983</v>
      </c>
      <c r="BS37" s="72">
        <f t="shared" si="71"/>
        <v>1715852</v>
      </c>
      <c r="BT37" s="72">
        <f t="shared" si="71"/>
        <v>2451587</v>
      </c>
      <c r="BU37" s="72">
        <f t="shared" si="71"/>
        <v>4167439</v>
      </c>
      <c r="BV37" s="72">
        <f t="shared" si="71"/>
        <v>15415817</v>
      </c>
      <c r="BW37" s="72">
        <f t="shared" si="71"/>
        <v>82550211</v>
      </c>
      <c r="BX37" s="72">
        <f t="shared" si="71"/>
        <v>97966028</v>
      </c>
      <c r="BY37" s="72">
        <f t="shared" si="71"/>
        <v>0</v>
      </c>
      <c r="BZ37" s="72">
        <f t="shared" si="71"/>
        <v>0</v>
      </c>
      <c r="CA37" s="72">
        <f t="shared" si="71"/>
        <v>13971752</v>
      </c>
      <c r="CB37" s="72">
        <f t="shared" si="71"/>
        <v>10467864</v>
      </c>
      <c r="CC37" s="72">
        <f t="shared" si="71"/>
        <v>42330880</v>
      </c>
      <c r="CD37" s="72">
        <f t="shared" si="71"/>
        <v>52798744</v>
      </c>
      <c r="CE37" s="72">
        <f t="shared" si="71"/>
        <v>15112862</v>
      </c>
      <c r="CF37" s="72">
        <f t="shared" si="71"/>
        <v>48734273</v>
      </c>
      <c r="CG37" s="72">
        <f t="shared" si="71"/>
        <v>63847135</v>
      </c>
      <c r="CH37" s="72">
        <f t="shared" si="71"/>
        <v>14606992</v>
      </c>
      <c r="CI37" s="72">
        <f t="shared" si="71"/>
        <v>74437219</v>
      </c>
      <c r="CJ37" s="72">
        <f t="shared" si="71"/>
        <v>89044211</v>
      </c>
      <c r="CK37" s="72">
        <f t="shared" si="71"/>
        <v>13910018</v>
      </c>
      <c r="CL37" s="72">
        <f t="shared" si="71"/>
        <v>20204047</v>
      </c>
      <c r="CM37" s="72">
        <f t="shared" si="71"/>
        <v>34114065</v>
      </c>
      <c r="CN37" s="72">
        <f t="shared" si="71"/>
        <v>22159213</v>
      </c>
      <c r="CO37" s="72">
        <f t="shared" si="71"/>
        <v>90874342</v>
      </c>
      <c r="CP37" s="72">
        <f t="shared" si="71"/>
        <v>111712299</v>
      </c>
      <c r="CQ37" s="72">
        <f t="shared" si="71"/>
        <v>0</v>
      </c>
      <c r="CR37" s="72">
        <f t="shared" si="71"/>
        <v>0</v>
      </c>
      <c r="CS37" s="72">
        <f t="shared" si="71"/>
        <v>316840887</v>
      </c>
      <c r="CT37" s="72">
        <f t="shared" si="71"/>
        <v>7490583</v>
      </c>
      <c r="CU37" s="72">
        <f t="shared" si="71"/>
        <v>13859339</v>
      </c>
      <c r="CV37" s="72">
        <f t="shared" si="71"/>
        <v>21349922</v>
      </c>
    </row>
  </sheetData>
  <mergeCells count="34">
    <mergeCell ref="CN3:CP3"/>
    <mergeCell ref="CQ3:CS3"/>
    <mergeCell ref="CT3:CV3"/>
    <mergeCell ref="A3:A4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Q3:S3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2020-09-15T09:53:34Z</dcterms:modified>
</cp:coreProperties>
</file>